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6660" yWindow="420" windowWidth="13350" windowHeight="9150" firstSheet="10" activeTab="12"/>
  </bookViews>
  <sheets>
    <sheet name="ตารางที่ 1" sheetId="1" r:id="rId1"/>
    <sheet name="ตารางที่ 2" sheetId="2" r:id="rId2"/>
    <sheet name="ตารางที่ 3" sheetId="4" r:id="rId3"/>
    <sheet name="ตารางที่ 4" sheetId="3" r:id="rId4"/>
    <sheet name="ตารางที่ 5" sheetId="6" r:id="rId5"/>
    <sheet name="ตารางที่ 6" sheetId="7" r:id="rId6"/>
    <sheet name="ตารางที่ 7" sheetId="8" r:id="rId7"/>
    <sheet name="ตารางที่ 8" sheetId="5" r:id="rId8"/>
    <sheet name="ต้นทุนผลผลผลิตการเรียนการสอน" sheetId="10" r:id="rId9"/>
    <sheet name="คชจ.หน่วยงาน" sheetId="12" r:id="rId10"/>
    <sheet name="ต้นทุนรอบปันส่วน" sheetId="14" r:id="rId11"/>
    <sheet name="ต้นทุนกิจกรรมด้านการเรียนการสอน" sheetId="21" r:id="rId12"/>
    <sheet name="ต้นทุนผลผลิตการเรียนปันส่วน" sheetId="20" r:id="rId13"/>
    <sheet name="ปันส่วนค่าเสื่อมส่วนกลางสงขลา" sheetId="15" r:id="rId14"/>
    <sheet name="ปันส่วนต้นทุนกิจกรรมสนับสนุน" sheetId="16" r:id="rId15"/>
    <sheet name="FTES59" sheetId="27" r:id="rId16"/>
    <sheet name="จำนวนบุคลากร" sheetId="18" r:id="rId17"/>
    <sheet name="ปันส่วนงบกลางสอ." sheetId="19" r:id="rId18"/>
  </sheets>
  <definedNames>
    <definedName name="_xlnm.Print_Titles" localSheetId="16">จำนวนบุคลากร!$1:$3</definedName>
    <definedName name="_xlnm.Print_Titles" localSheetId="2">'ตารางที่ 3'!$1:$4</definedName>
  </definedNames>
  <calcPr calcId="124519"/>
</workbook>
</file>

<file path=xl/calcChain.xml><?xml version="1.0" encoding="utf-8"?>
<calcChain xmlns="http://schemas.openxmlformats.org/spreadsheetml/2006/main">
  <c r="E11" i="16"/>
  <c r="W7" i="14"/>
  <c r="M7"/>
  <c r="L7"/>
  <c r="K7"/>
  <c r="I13"/>
  <c r="I10"/>
  <c r="I9"/>
  <c r="I8"/>
  <c r="J7"/>
  <c r="I7"/>
  <c r="D21" i="16"/>
  <c r="D20"/>
  <c r="O10" i="8"/>
  <c r="C249" i="27" l="1"/>
  <c r="D249"/>
  <c r="E249"/>
  <c r="F249"/>
  <c r="G249"/>
  <c r="H249"/>
  <c r="I249"/>
  <c r="J249"/>
  <c r="K249"/>
  <c r="L249"/>
  <c r="M249"/>
  <c r="N249"/>
  <c r="O249"/>
  <c r="P249"/>
  <c r="Q249"/>
  <c r="R249"/>
  <c r="S249"/>
  <c r="T249"/>
  <c r="N38" i="8" l="1"/>
  <c r="M38"/>
  <c r="F38" i="20"/>
  <c r="F36"/>
  <c r="F34"/>
  <c r="F32"/>
  <c r="F30"/>
  <c r="F25"/>
  <c r="F23"/>
  <c r="F20"/>
  <c r="F17"/>
  <c r="F16" s="1"/>
  <c r="F14"/>
  <c r="F10"/>
  <c r="F9"/>
  <c r="F6"/>
  <c r="F5"/>
  <c r="F4" s="1"/>
  <c r="J46"/>
  <c r="F8" l="1"/>
  <c r="F46" s="1"/>
  <c r="O25" i="8"/>
  <c r="O26"/>
  <c r="N17"/>
  <c r="S29"/>
  <c r="S30"/>
  <c r="S31"/>
  <c r="S32"/>
  <c r="S33"/>
  <c r="S34"/>
  <c r="S35"/>
  <c r="S36"/>
  <c r="S37"/>
  <c r="S27"/>
  <c r="C13" i="6"/>
  <c r="D9"/>
  <c r="E9" s="1"/>
  <c r="D38" i="2"/>
  <c r="L45" i="10" l="1"/>
  <c r="J45"/>
  <c r="J44" s="1"/>
  <c r="I44"/>
  <c r="H44"/>
  <c r="G44"/>
  <c r="F44"/>
  <c r="E44"/>
  <c r="D44"/>
  <c r="L43"/>
  <c r="J43"/>
  <c r="J42" s="1"/>
  <c r="I42"/>
  <c r="H42"/>
  <c r="G42"/>
  <c r="F42"/>
  <c r="E42"/>
  <c r="D42"/>
  <c r="L41"/>
  <c r="J41"/>
  <c r="K41" s="1"/>
  <c r="L40"/>
  <c r="J40"/>
  <c r="K40" s="1"/>
  <c r="I39"/>
  <c r="H39"/>
  <c r="G39"/>
  <c r="F39"/>
  <c r="E39"/>
  <c r="D39"/>
  <c r="D38" s="1"/>
  <c r="L37"/>
  <c r="J37"/>
  <c r="J36" s="1"/>
  <c r="I36"/>
  <c r="I35" s="1"/>
  <c r="H36"/>
  <c r="H35" s="1"/>
  <c r="G36"/>
  <c r="F36"/>
  <c r="E36"/>
  <c r="E35" s="1"/>
  <c r="D36"/>
  <c r="D35" s="1"/>
  <c r="G35"/>
  <c r="L33"/>
  <c r="J33"/>
  <c r="J32" s="1"/>
  <c r="K32" s="1"/>
  <c r="I32"/>
  <c r="H32"/>
  <c r="G32"/>
  <c r="F32"/>
  <c r="E32"/>
  <c r="D32"/>
  <c r="L31"/>
  <c r="K31"/>
  <c r="J31"/>
  <c r="J30" s="1"/>
  <c r="I30"/>
  <c r="H30"/>
  <c r="G30"/>
  <c r="F30"/>
  <c r="E30"/>
  <c r="D30"/>
  <c r="L29"/>
  <c r="J29"/>
  <c r="K29" s="1"/>
  <c r="L28"/>
  <c r="J28"/>
  <c r="K28" s="1"/>
  <c r="L27"/>
  <c r="J27"/>
  <c r="K27" s="1"/>
  <c r="L26"/>
  <c r="J26"/>
  <c r="K26" s="1"/>
  <c r="I25"/>
  <c r="H25"/>
  <c r="G25"/>
  <c r="F25"/>
  <c r="E25"/>
  <c r="D25"/>
  <c r="L24"/>
  <c r="J24"/>
  <c r="K24" s="1"/>
  <c r="I23"/>
  <c r="H23"/>
  <c r="G23"/>
  <c r="F23"/>
  <c r="E23"/>
  <c r="D23"/>
  <c r="L22"/>
  <c r="J22"/>
  <c r="K22" s="1"/>
  <c r="I21"/>
  <c r="I20" s="1"/>
  <c r="H21"/>
  <c r="H20" s="1"/>
  <c r="G21"/>
  <c r="G20" s="1"/>
  <c r="F21"/>
  <c r="F20" s="1"/>
  <c r="F16" s="1"/>
  <c r="E20"/>
  <c r="D20"/>
  <c r="L19"/>
  <c r="J19"/>
  <c r="K19" s="1"/>
  <c r="L18"/>
  <c r="J18"/>
  <c r="K18" s="1"/>
  <c r="I17"/>
  <c r="H17"/>
  <c r="G17"/>
  <c r="F17"/>
  <c r="E17"/>
  <c r="D17"/>
  <c r="L15"/>
  <c r="J15"/>
  <c r="J14" s="1"/>
  <c r="I14"/>
  <c r="H14"/>
  <c r="G14"/>
  <c r="F14"/>
  <c r="E14"/>
  <c r="D14"/>
  <c r="L13"/>
  <c r="J13"/>
  <c r="K13" s="1"/>
  <c r="L12"/>
  <c r="J12"/>
  <c r="K12" s="1"/>
  <c r="L11"/>
  <c r="J11"/>
  <c r="J10" s="1"/>
  <c r="K10" s="1"/>
  <c r="I10"/>
  <c r="H10"/>
  <c r="H9" s="1"/>
  <c r="G10"/>
  <c r="F10"/>
  <c r="E10"/>
  <c r="D10"/>
  <c r="D9" s="1"/>
  <c r="G9"/>
  <c r="L7"/>
  <c r="J7"/>
  <c r="J6" s="1"/>
  <c r="J5" s="1"/>
  <c r="I6"/>
  <c r="H6"/>
  <c r="H5" s="1"/>
  <c r="H4" s="1"/>
  <c r="G6"/>
  <c r="G5" s="1"/>
  <c r="G4" s="1"/>
  <c r="F6"/>
  <c r="F5" s="1"/>
  <c r="E6"/>
  <c r="D6"/>
  <c r="D5" s="1"/>
  <c r="D4" s="1"/>
  <c r="I5"/>
  <c r="I4" s="1"/>
  <c r="Q25" i="8"/>
  <c r="S8"/>
  <c r="S9"/>
  <c r="S11"/>
  <c r="S12"/>
  <c r="S13"/>
  <c r="S14"/>
  <c r="S15"/>
  <c r="S16"/>
  <c r="S17"/>
  <c r="S18"/>
  <c r="S19"/>
  <c r="S7"/>
  <c r="R8"/>
  <c r="R9"/>
  <c r="R10"/>
  <c r="R11"/>
  <c r="R12"/>
  <c r="R13"/>
  <c r="R14"/>
  <c r="R15"/>
  <c r="R16"/>
  <c r="R17"/>
  <c r="R18"/>
  <c r="R19"/>
  <c r="R20"/>
  <c r="R21"/>
  <c r="R22"/>
  <c r="R23"/>
  <c r="R7"/>
  <c r="O7"/>
  <c r="K25"/>
  <c r="L25"/>
  <c r="M25"/>
  <c r="N25"/>
  <c r="K26"/>
  <c r="L26"/>
  <c r="M26"/>
  <c r="N26"/>
  <c r="K27"/>
  <c r="L27"/>
  <c r="M27"/>
  <c r="N27"/>
  <c r="K28"/>
  <c r="L28"/>
  <c r="M28"/>
  <c r="N28"/>
  <c r="K29"/>
  <c r="L29"/>
  <c r="M29"/>
  <c r="N29"/>
  <c r="K30"/>
  <c r="L30"/>
  <c r="M30"/>
  <c r="N30"/>
  <c r="K31"/>
  <c r="L31"/>
  <c r="M31"/>
  <c r="N31"/>
  <c r="K32"/>
  <c r="L32"/>
  <c r="M32"/>
  <c r="N32"/>
  <c r="K33"/>
  <c r="L33"/>
  <c r="M33"/>
  <c r="N33"/>
  <c r="K34"/>
  <c r="L34"/>
  <c r="M34"/>
  <c r="N34"/>
  <c r="K35"/>
  <c r="L35"/>
  <c r="M35"/>
  <c r="N35"/>
  <c r="K36"/>
  <c r="L36"/>
  <c r="M36"/>
  <c r="N36"/>
  <c r="K37"/>
  <c r="L37"/>
  <c r="M37"/>
  <c r="N37"/>
  <c r="J26"/>
  <c r="J27"/>
  <c r="J28"/>
  <c r="J29"/>
  <c r="J30"/>
  <c r="J31"/>
  <c r="J32"/>
  <c r="J33"/>
  <c r="J34"/>
  <c r="J35"/>
  <c r="J36"/>
  <c r="J37"/>
  <c r="J25"/>
  <c r="L7"/>
  <c r="M7"/>
  <c r="N7"/>
  <c r="L8"/>
  <c r="M8"/>
  <c r="N8"/>
  <c r="O8"/>
  <c r="L9"/>
  <c r="M9"/>
  <c r="N9"/>
  <c r="O9"/>
  <c r="L10"/>
  <c r="M10"/>
  <c r="N10"/>
  <c r="S10"/>
  <c r="L11"/>
  <c r="M11"/>
  <c r="N11"/>
  <c r="O11"/>
  <c r="L12"/>
  <c r="M12"/>
  <c r="N12"/>
  <c r="O12"/>
  <c r="L13"/>
  <c r="M13"/>
  <c r="N13"/>
  <c r="O13"/>
  <c r="L14"/>
  <c r="M14"/>
  <c r="N14"/>
  <c r="O14"/>
  <c r="L15"/>
  <c r="M15"/>
  <c r="N15"/>
  <c r="O15"/>
  <c r="L16"/>
  <c r="M16"/>
  <c r="N16"/>
  <c r="O16"/>
  <c r="L17"/>
  <c r="M17"/>
  <c r="O17"/>
  <c r="L18"/>
  <c r="M18"/>
  <c r="N18"/>
  <c r="O18"/>
  <c r="L19"/>
  <c r="M19"/>
  <c r="N19"/>
  <c r="O19"/>
  <c r="L20"/>
  <c r="M20"/>
  <c r="N20"/>
  <c r="O20"/>
  <c r="L21"/>
  <c r="M21"/>
  <c r="N21"/>
  <c r="O21"/>
  <c r="L22"/>
  <c r="M22"/>
  <c r="N22"/>
  <c r="O22"/>
  <c r="L23"/>
  <c r="M23"/>
  <c r="N23"/>
  <c r="O23"/>
  <c r="K7"/>
  <c r="K8"/>
  <c r="K9"/>
  <c r="K10"/>
  <c r="K11"/>
  <c r="K12"/>
  <c r="K13"/>
  <c r="K14"/>
  <c r="K15"/>
  <c r="K16"/>
  <c r="K17"/>
  <c r="K18"/>
  <c r="K19"/>
  <c r="K20"/>
  <c r="K21"/>
  <c r="K22"/>
  <c r="K23"/>
  <c r="J8"/>
  <c r="J9"/>
  <c r="J10"/>
  <c r="J11"/>
  <c r="J12"/>
  <c r="J13"/>
  <c r="J14"/>
  <c r="J15"/>
  <c r="J16"/>
  <c r="J17"/>
  <c r="J18"/>
  <c r="J19"/>
  <c r="J20"/>
  <c r="J21"/>
  <c r="J22"/>
  <c r="J23"/>
  <c r="J7"/>
  <c r="F35" i="4"/>
  <c r="J34" i="5"/>
  <c r="K34"/>
  <c r="L34"/>
  <c r="M34"/>
  <c r="N34"/>
  <c r="O34"/>
  <c r="P34"/>
  <c r="J35"/>
  <c r="J29"/>
  <c r="I7" i="4"/>
  <c r="F7"/>
  <c r="G46" i="20"/>
  <c r="H46"/>
  <c r="I46"/>
  <c r="J29"/>
  <c r="I21"/>
  <c r="H21"/>
  <c r="G21"/>
  <c r="F21"/>
  <c r="J26"/>
  <c r="D35" i="4"/>
  <c r="F44" i="21"/>
  <c r="G44"/>
  <c r="H44"/>
  <c r="I44"/>
  <c r="F42"/>
  <c r="G42"/>
  <c r="H42"/>
  <c r="I42"/>
  <c r="E42"/>
  <c r="F39"/>
  <c r="G39"/>
  <c r="G38" s="1"/>
  <c r="H39"/>
  <c r="I39"/>
  <c r="F36"/>
  <c r="F35" s="1"/>
  <c r="G36"/>
  <c r="G35" s="1"/>
  <c r="H36"/>
  <c r="H35" s="1"/>
  <c r="I36"/>
  <c r="I35" s="1"/>
  <c r="F32"/>
  <c r="G32"/>
  <c r="H32"/>
  <c r="I32"/>
  <c r="E32"/>
  <c r="F30"/>
  <c r="G30"/>
  <c r="H30"/>
  <c r="I30"/>
  <c r="F25"/>
  <c r="G25"/>
  <c r="H25"/>
  <c r="I25"/>
  <c r="F23"/>
  <c r="G23"/>
  <c r="H23"/>
  <c r="I23"/>
  <c r="E23"/>
  <c r="H20"/>
  <c r="I20"/>
  <c r="E20"/>
  <c r="F14"/>
  <c r="G14"/>
  <c r="H14"/>
  <c r="I14"/>
  <c r="E14"/>
  <c r="F17"/>
  <c r="G17"/>
  <c r="H17"/>
  <c r="I17"/>
  <c r="F10"/>
  <c r="G10"/>
  <c r="H10"/>
  <c r="I10"/>
  <c r="E10"/>
  <c r="G6"/>
  <c r="G5" s="1"/>
  <c r="G4" s="1"/>
  <c r="H6"/>
  <c r="H5" s="1"/>
  <c r="H4" s="1"/>
  <c r="I6"/>
  <c r="I5" s="1"/>
  <c r="I4" s="1"/>
  <c r="F6"/>
  <c r="F5" s="1"/>
  <c r="F4" s="1"/>
  <c r="I21"/>
  <c r="H21"/>
  <c r="G21"/>
  <c r="G20" s="1"/>
  <c r="F21"/>
  <c r="F20" s="1"/>
  <c r="C35" i="4"/>
  <c r="E35"/>
  <c r="B35"/>
  <c r="S490" i="14"/>
  <c r="T490"/>
  <c r="U490"/>
  <c r="V490"/>
  <c r="R490"/>
  <c r="S465"/>
  <c r="V485"/>
  <c r="AD256"/>
  <c r="V266"/>
  <c r="V265"/>
  <c r="V264"/>
  <c r="V263"/>
  <c r="T265"/>
  <c r="U265"/>
  <c r="V256"/>
  <c r="S266"/>
  <c r="T256"/>
  <c r="T242"/>
  <c r="T243"/>
  <c r="T244"/>
  <c r="T245"/>
  <c r="T246"/>
  <c r="T247"/>
  <c r="T248"/>
  <c r="T249"/>
  <c r="T241"/>
  <c r="T228"/>
  <c r="T229"/>
  <c r="T230"/>
  <c r="T231"/>
  <c r="T232"/>
  <c r="T233"/>
  <c r="T234"/>
  <c r="T235"/>
  <c r="T227"/>
  <c r="T211"/>
  <c r="T212"/>
  <c r="T213"/>
  <c r="T214"/>
  <c r="T215"/>
  <c r="T216"/>
  <c r="T217"/>
  <c r="T218"/>
  <c r="T219"/>
  <c r="T210"/>
  <c r="T197"/>
  <c r="T198"/>
  <c r="T199"/>
  <c r="T200"/>
  <c r="T201"/>
  <c r="T202"/>
  <c r="T203"/>
  <c r="T204"/>
  <c r="T196"/>
  <c r="T183"/>
  <c r="T184"/>
  <c r="T185"/>
  <c r="T186"/>
  <c r="T187"/>
  <c r="T188"/>
  <c r="T189"/>
  <c r="T190"/>
  <c r="T191"/>
  <c r="T182"/>
  <c r="T166"/>
  <c r="T167"/>
  <c r="T168"/>
  <c r="T169"/>
  <c r="T170"/>
  <c r="T171"/>
  <c r="T172"/>
  <c r="T173"/>
  <c r="T165"/>
  <c r="T152"/>
  <c r="T153"/>
  <c r="T154"/>
  <c r="T155"/>
  <c r="T156"/>
  <c r="T157"/>
  <c r="T158"/>
  <c r="T159"/>
  <c r="T151"/>
  <c r="T138"/>
  <c r="T139"/>
  <c r="T140"/>
  <c r="T141"/>
  <c r="T142"/>
  <c r="T143"/>
  <c r="T144"/>
  <c r="T145"/>
  <c r="T137"/>
  <c r="T120"/>
  <c r="T121"/>
  <c r="T122"/>
  <c r="T123"/>
  <c r="T124"/>
  <c r="T125"/>
  <c r="T126"/>
  <c r="T127"/>
  <c r="T119"/>
  <c r="T107"/>
  <c r="T108"/>
  <c r="T109"/>
  <c r="T110"/>
  <c r="T111"/>
  <c r="T112"/>
  <c r="T113"/>
  <c r="T114"/>
  <c r="T106"/>
  <c r="T92"/>
  <c r="T93"/>
  <c r="T75"/>
  <c r="T76"/>
  <c r="T77"/>
  <c r="T78"/>
  <c r="T79"/>
  <c r="T80"/>
  <c r="T81"/>
  <c r="T82"/>
  <c r="T74"/>
  <c r="T62"/>
  <c r="T63"/>
  <c r="T64"/>
  <c r="T65"/>
  <c r="T66"/>
  <c r="T67"/>
  <c r="T68"/>
  <c r="T69"/>
  <c r="T61"/>
  <c r="T48"/>
  <c r="T49"/>
  <c r="T50"/>
  <c r="T51"/>
  <c r="T52"/>
  <c r="T53"/>
  <c r="T54"/>
  <c r="T55"/>
  <c r="T47"/>
  <c r="T34"/>
  <c r="T35"/>
  <c r="T36"/>
  <c r="T37"/>
  <c r="T38"/>
  <c r="T39"/>
  <c r="T40"/>
  <c r="T41"/>
  <c r="T33"/>
  <c r="T21"/>
  <c r="T22"/>
  <c r="T23"/>
  <c r="T24"/>
  <c r="T25"/>
  <c r="T26"/>
  <c r="T27"/>
  <c r="T28"/>
  <c r="T20"/>
  <c r="V14"/>
  <c r="V13"/>
  <c r="V15"/>
  <c r="V7"/>
  <c r="T7"/>
  <c r="T8"/>
  <c r="T9"/>
  <c r="T10"/>
  <c r="T11"/>
  <c r="T12"/>
  <c r="T13"/>
  <c r="T14"/>
  <c r="T15"/>
  <c r="T6"/>
  <c r="Q265"/>
  <c r="Q250"/>
  <c r="Q236"/>
  <c r="Q219"/>
  <c r="Q205"/>
  <c r="Q191"/>
  <c r="Q174"/>
  <c r="Q160"/>
  <c r="Q146"/>
  <c r="Q128"/>
  <c r="Q115"/>
  <c r="Q101"/>
  <c r="Q83"/>
  <c r="Q70"/>
  <c r="Q56"/>
  <c r="Q42"/>
  <c r="Q29"/>
  <c r="Q15"/>
  <c r="P265"/>
  <c r="Q257"/>
  <c r="Q256"/>
  <c r="Q93"/>
  <c r="Q92"/>
  <c r="P92"/>
  <c r="T261"/>
  <c r="W6"/>
  <c r="S6"/>
  <c r="R6"/>
  <c r="J31" i="21"/>
  <c r="D6"/>
  <c r="D5" s="1"/>
  <c r="D4" s="1"/>
  <c r="S256" i="14"/>
  <c r="S257"/>
  <c r="T257"/>
  <c r="S258"/>
  <c r="S259"/>
  <c r="S260"/>
  <c r="S261"/>
  <c r="S262"/>
  <c r="S263"/>
  <c r="S264"/>
  <c r="R257"/>
  <c r="R258"/>
  <c r="R259"/>
  <c r="R260"/>
  <c r="R261"/>
  <c r="R262"/>
  <c r="R263"/>
  <c r="R264"/>
  <c r="R256"/>
  <c r="D256"/>
  <c r="C175"/>
  <c r="C146"/>
  <c r="C147"/>
  <c r="C129"/>
  <c r="C101"/>
  <c r="J18" i="21"/>
  <c r="J33"/>
  <c r="H16" i="16"/>
  <c r="D9"/>
  <c r="D8"/>
  <c r="D16"/>
  <c r="F27" i="3"/>
  <c r="AA266" i="14"/>
  <c r="Z266"/>
  <c r="X266"/>
  <c r="W266"/>
  <c r="G266"/>
  <c r="C92"/>
  <c r="G43"/>
  <c r="F43"/>
  <c r="D43"/>
  <c r="C43"/>
  <c r="F16"/>
  <c r="P101"/>
  <c r="M92"/>
  <c r="N92"/>
  <c r="O92"/>
  <c r="M93"/>
  <c r="N93"/>
  <c r="O93"/>
  <c r="P93"/>
  <c r="M94"/>
  <c r="N94"/>
  <c r="O94"/>
  <c r="P94"/>
  <c r="M95"/>
  <c r="N95"/>
  <c r="O95"/>
  <c r="P95"/>
  <c r="M96"/>
  <c r="N96"/>
  <c r="O96"/>
  <c r="P96"/>
  <c r="M97"/>
  <c r="N97"/>
  <c r="O97"/>
  <c r="P97"/>
  <c r="M98"/>
  <c r="N98"/>
  <c r="O98"/>
  <c r="P98"/>
  <c r="M99"/>
  <c r="N99"/>
  <c r="O99"/>
  <c r="P99"/>
  <c r="M100"/>
  <c r="N100"/>
  <c r="O100"/>
  <c r="P100"/>
  <c r="L93"/>
  <c r="L94"/>
  <c r="L95"/>
  <c r="L96"/>
  <c r="L97"/>
  <c r="L98"/>
  <c r="L99"/>
  <c r="L100"/>
  <c r="L92"/>
  <c r="R485"/>
  <c r="T465"/>
  <c r="U465"/>
  <c r="V465"/>
  <c r="S466"/>
  <c r="T466"/>
  <c r="U466"/>
  <c r="S467"/>
  <c r="T467"/>
  <c r="U467"/>
  <c r="V467"/>
  <c r="S468"/>
  <c r="T468"/>
  <c r="U468"/>
  <c r="V468"/>
  <c r="S469"/>
  <c r="T469"/>
  <c r="U469"/>
  <c r="V469"/>
  <c r="S470"/>
  <c r="T470"/>
  <c r="U470"/>
  <c r="V470"/>
  <c r="S471"/>
  <c r="T471"/>
  <c r="U471"/>
  <c r="V471"/>
  <c r="S472"/>
  <c r="T472"/>
  <c r="U472"/>
  <c r="V472"/>
  <c r="S473"/>
  <c r="T473"/>
  <c r="U473"/>
  <c r="V473"/>
  <c r="S474"/>
  <c r="T474"/>
  <c r="U474"/>
  <c r="V474"/>
  <c r="S475"/>
  <c r="T475"/>
  <c r="U475"/>
  <c r="V475"/>
  <c r="S476"/>
  <c r="T476"/>
  <c r="U476"/>
  <c r="V476"/>
  <c r="S477"/>
  <c r="T477"/>
  <c r="U477"/>
  <c r="V477"/>
  <c r="S478"/>
  <c r="T478"/>
  <c r="U478"/>
  <c r="V478"/>
  <c r="S479"/>
  <c r="T479"/>
  <c r="U479"/>
  <c r="V479"/>
  <c r="S480"/>
  <c r="T480"/>
  <c r="U480"/>
  <c r="V480"/>
  <c r="S481"/>
  <c r="T481"/>
  <c r="U481"/>
  <c r="V481"/>
  <c r="S482"/>
  <c r="T482"/>
  <c r="U482"/>
  <c r="V482"/>
  <c r="S483"/>
  <c r="T483"/>
  <c r="U483"/>
  <c r="V483"/>
  <c r="S484"/>
  <c r="T484"/>
  <c r="U484"/>
  <c r="V484"/>
  <c r="R466"/>
  <c r="R467"/>
  <c r="R468"/>
  <c r="R469"/>
  <c r="R470"/>
  <c r="R471"/>
  <c r="R472"/>
  <c r="R473"/>
  <c r="R474"/>
  <c r="R475"/>
  <c r="R476"/>
  <c r="R477"/>
  <c r="R478"/>
  <c r="R479"/>
  <c r="R480"/>
  <c r="R481"/>
  <c r="R482"/>
  <c r="R483"/>
  <c r="R484"/>
  <c r="R465"/>
  <c r="V438"/>
  <c r="U438"/>
  <c r="S438"/>
  <c r="R438"/>
  <c r="V414"/>
  <c r="U414"/>
  <c r="S414"/>
  <c r="R414"/>
  <c r="V391"/>
  <c r="U391"/>
  <c r="S391"/>
  <c r="R391"/>
  <c r="V367"/>
  <c r="U367"/>
  <c r="S367"/>
  <c r="R367"/>
  <c r="V342"/>
  <c r="U342"/>
  <c r="S342"/>
  <c r="R342"/>
  <c r="V293"/>
  <c r="U293"/>
  <c r="S293"/>
  <c r="R293"/>
  <c r="X31" i="12"/>
  <c r="W31"/>
  <c r="Z31"/>
  <c r="X33"/>
  <c r="Z32"/>
  <c r="Z26"/>
  <c r="Z27"/>
  <c r="Z28"/>
  <c r="Z29"/>
  <c r="Z30"/>
  <c r="Z25"/>
  <c r="X25"/>
  <c r="Y25"/>
  <c r="X26"/>
  <c r="Y26"/>
  <c r="X27"/>
  <c r="Y27"/>
  <c r="X28"/>
  <c r="Y28"/>
  <c r="X29"/>
  <c r="Y29"/>
  <c r="X30"/>
  <c r="Y30"/>
  <c r="Y31"/>
  <c r="W26"/>
  <c r="W27"/>
  <c r="W28"/>
  <c r="W29"/>
  <c r="W30"/>
  <c r="W25"/>
  <c r="AC465" i="14"/>
  <c r="AD465"/>
  <c r="AE465"/>
  <c r="AF465"/>
  <c r="AC466"/>
  <c r="AD466"/>
  <c r="AE466"/>
  <c r="AF466"/>
  <c r="AC467"/>
  <c r="AD467"/>
  <c r="AE467"/>
  <c r="AF467"/>
  <c r="AC468"/>
  <c r="AD468"/>
  <c r="AE468"/>
  <c r="AF468"/>
  <c r="AC469"/>
  <c r="AD469"/>
  <c r="AE469"/>
  <c r="AF469"/>
  <c r="AC470"/>
  <c r="AD470"/>
  <c r="AE470"/>
  <c r="AF470"/>
  <c r="AC471"/>
  <c r="AD471"/>
  <c r="AE471"/>
  <c r="AF471"/>
  <c r="AC472"/>
  <c r="AD472"/>
  <c r="AE472"/>
  <c r="AF472"/>
  <c r="AC473"/>
  <c r="AD473"/>
  <c r="AE473"/>
  <c r="AF473"/>
  <c r="AC474"/>
  <c r="AD474"/>
  <c r="AE474"/>
  <c r="AF474"/>
  <c r="AC475"/>
  <c r="AD475"/>
  <c r="AE475"/>
  <c r="AF475"/>
  <c r="AC476"/>
  <c r="AD476"/>
  <c r="AE476"/>
  <c r="AF476"/>
  <c r="AC477"/>
  <c r="AD477"/>
  <c r="AE477"/>
  <c r="AF477"/>
  <c r="AC478"/>
  <c r="AD478"/>
  <c r="AE478"/>
  <c r="AF478"/>
  <c r="AC479"/>
  <c r="AD479"/>
  <c r="AE479"/>
  <c r="AF479"/>
  <c r="AC480"/>
  <c r="AD480"/>
  <c r="AE480"/>
  <c r="AF480"/>
  <c r="AC481"/>
  <c r="AD481"/>
  <c r="AE481"/>
  <c r="AF481"/>
  <c r="AB466"/>
  <c r="AB467"/>
  <c r="AB468"/>
  <c r="AB469"/>
  <c r="AB470"/>
  <c r="AB471"/>
  <c r="AB472"/>
  <c r="AB473"/>
  <c r="AB474"/>
  <c r="AB475"/>
  <c r="AB476"/>
  <c r="AB477"/>
  <c r="AB478"/>
  <c r="AB479"/>
  <c r="AB480"/>
  <c r="AB481"/>
  <c r="AB465"/>
  <c r="F465"/>
  <c r="G465"/>
  <c r="C465"/>
  <c r="C485"/>
  <c r="U266"/>
  <c r="F266"/>
  <c r="F256"/>
  <c r="D266"/>
  <c r="C266"/>
  <c r="G257"/>
  <c r="G258"/>
  <c r="G259"/>
  <c r="G260"/>
  <c r="G261"/>
  <c r="G262"/>
  <c r="G263"/>
  <c r="G264"/>
  <c r="D265"/>
  <c r="F265"/>
  <c r="C257"/>
  <c r="C258"/>
  <c r="C265" s="1"/>
  <c r="C259"/>
  <c r="C260"/>
  <c r="C261"/>
  <c r="C262"/>
  <c r="C263"/>
  <c r="C264"/>
  <c r="C256"/>
  <c r="G251"/>
  <c r="F251"/>
  <c r="D251"/>
  <c r="C251"/>
  <c r="G237"/>
  <c r="F237"/>
  <c r="D237"/>
  <c r="C237"/>
  <c r="F220"/>
  <c r="D220"/>
  <c r="C220"/>
  <c r="F206"/>
  <c r="D206"/>
  <c r="C206"/>
  <c r="F192"/>
  <c r="D192"/>
  <c r="C192"/>
  <c r="G175"/>
  <c r="F175"/>
  <c r="D175"/>
  <c r="F174"/>
  <c r="C174"/>
  <c r="G161"/>
  <c r="F161"/>
  <c r="D161"/>
  <c r="C161"/>
  <c r="F147"/>
  <c r="F134"/>
  <c r="G138"/>
  <c r="F148"/>
  <c r="D147"/>
  <c r="F129"/>
  <c r="D129"/>
  <c r="F116"/>
  <c r="C116"/>
  <c r="G99"/>
  <c r="G101"/>
  <c r="G92"/>
  <c r="G93"/>
  <c r="G94"/>
  <c r="G95"/>
  <c r="G96"/>
  <c r="G97"/>
  <c r="G98"/>
  <c r="G100"/>
  <c r="D92"/>
  <c r="E92"/>
  <c r="F92"/>
  <c r="D93"/>
  <c r="E93"/>
  <c r="F93"/>
  <c r="D94"/>
  <c r="E94"/>
  <c r="F94"/>
  <c r="D95"/>
  <c r="E95"/>
  <c r="F95"/>
  <c r="D96"/>
  <c r="E96"/>
  <c r="F96"/>
  <c r="D97"/>
  <c r="E97"/>
  <c r="F97"/>
  <c r="D98"/>
  <c r="E98"/>
  <c r="F98"/>
  <c r="D99"/>
  <c r="E99"/>
  <c r="F99"/>
  <c r="D100"/>
  <c r="E100"/>
  <c r="F100"/>
  <c r="C93"/>
  <c r="C94"/>
  <c r="C95"/>
  <c r="C96"/>
  <c r="C97"/>
  <c r="C98"/>
  <c r="C99"/>
  <c r="C100"/>
  <c r="F84"/>
  <c r="D84"/>
  <c r="C84"/>
  <c r="F71"/>
  <c r="D71"/>
  <c r="C71"/>
  <c r="G57"/>
  <c r="F57"/>
  <c r="D57"/>
  <c r="C57"/>
  <c r="D33"/>
  <c r="D42" s="1"/>
  <c r="O3" i="12"/>
  <c r="X9"/>
  <c r="W9"/>
  <c r="W8"/>
  <c r="F11" i="16" l="1"/>
  <c r="F16"/>
  <c r="G12"/>
  <c r="G16"/>
  <c r="H5"/>
  <c r="H14"/>
  <c r="H18"/>
  <c r="E10"/>
  <c r="F10"/>
  <c r="F15"/>
  <c r="F19"/>
  <c r="G11"/>
  <c r="G15"/>
  <c r="G19"/>
  <c r="H12"/>
  <c r="H17"/>
  <c r="E5"/>
  <c r="F5"/>
  <c r="F14"/>
  <c r="F18"/>
  <c r="G10"/>
  <c r="G14"/>
  <c r="G18"/>
  <c r="H11"/>
  <c r="F12"/>
  <c r="H13"/>
  <c r="E19"/>
  <c r="F13"/>
  <c r="F17"/>
  <c r="G5"/>
  <c r="G13"/>
  <c r="I13" s="1"/>
  <c r="G17"/>
  <c r="H10"/>
  <c r="H15"/>
  <c r="H19"/>
  <c r="E5" i="10"/>
  <c r="E4" s="1"/>
  <c r="G14" i="3"/>
  <c r="E9" i="10"/>
  <c r="I9"/>
  <c r="I8" s="1"/>
  <c r="I46" s="1"/>
  <c r="D16"/>
  <c r="D8" s="1"/>
  <c r="D46" s="1"/>
  <c r="H16"/>
  <c r="K30"/>
  <c r="K37"/>
  <c r="K11"/>
  <c r="E38"/>
  <c r="I38"/>
  <c r="K43"/>
  <c r="K44"/>
  <c r="E34"/>
  <c r="I34"/>
  <c r="L10"/>
  <c r="E16"/>
  <c r="E8" s="1"/>
  <c r="E46" s="1"/>
  <c r="I16"/>
  <c r="L36"/>
  <c r="K14"/>
  <c r="L17"/>
  <c r="H38"/>
  <c r="F38"/>
  <c r="K7"/>
  <c r="K15"/>
  <c r="G16"/>
  <c r="J21"/>
  <c r="J20" s="1"/>
  <c r="K20" s="1"/>
  <c r="L23"/>
  <c r="L25"/>
  <c r="L30"/>
  <c r="K33"/>
  <c r="L39"/>
  <c r="K36"/>
  <c r="K42"/>
  <c r="K45"/>
  <c r="L14"/>
  <c r="L20"/>
  <c r="L32"/>
  <c r="H8"/>
  <c r="D34"/>
  <c r="H34"/>
  <c r="G38"/>
  <c r="G34" s="1"/>
  <c r="L42"/>
  <c r="L44"/>
  <c r="K21"/>
  <c r="L5"/>
  <c r="F4"/>
  <c r="K5"/>
  <c r="J4"/>
  <c r="L6"/>
  <c r="K6"/>
  <c r="F9"/>
  <c r="J9"/>
  <c r="J17"/>
  <c r="L21"/>
  <c r="F35"/>
  <c r="J35"/>
  <c r="J23"/>
  <c r="K23" s="1"/>
  <c r="J25"/>
  <c r="K25" s="1"/>
  <c r="J39"/>
  <c r="Q9" i="8"/>
  <c r="K38"/>
  <c r="I9" i="21"/>
  <c r="F9"/>
  <c r="F38"/>
  <c r="F34" s="1"/>
  <c r="I38"/>
  <c r="H38"/>
  <c r="H34" s="1"/>
  <c r="G34"/>
  <c r="I34"/>
  <c r="F16"/>
  <c r="G16"/>
  <c r="I16"/>
  <c r="H16"/>
  <c r="H9"/>
  <c r="G9"/>
  <c r="G8" s="1"/>
  <c r="J19"/>
  <c r="J17" s="1"/>
  <c r="L38" i="8"/>
  <c r="T258" i="14"/>
  <c r="T262"/>
  <c r="T264"/>
  <c r="T259"/>
  <c r="T260"/>
  <c r="T263"/>
  <c r="H20" i="16"/>
  <c r="G20"/>
  <c r="E15"/>
  <c r="E16"/>
  <c r="E12"/>
  <c r="E17"/>
  <c r="E13"/>
  <c r="E9"/>
  <c r="E18"/>
  <c r="I18" s="1"/>
  <c r="E14"/>
  <c r="I14" s="1"/>
  <c r="R266" i="14"/>
  <c r="F30"/>
  <c r="D30"/>
  <c r="C30"/>
  <c r="D16"/>
  <c r="C16"/>
  <c r="G487"/>
  <c r="F487"/>
  <c r="D487"/>
  <c r="C487"/>
  <c r="AC262"/>
  <c r="AC263"/>
  <c r="AC264"/>
  <c r="AE264"/>
  <c r="AB264"/>
  <c r="AF249"/>
  <c r="AD241"/>
  <c r="AD242"/>
  <c r="AD243"/>
  <c r="AD244"/>
  <c r="AD245"/>
  <c r="AD246"/>
  <c r="AC247"/>
  <c r="AD247"/>
  <c r="AE247"/>
  <c r="AC248"/>
  <c r="AD248"/>
  <c r="AC249"/>
  <c r="AD249"/>
  <c r="AE249"/>
  <c r="AB249"/>
  <c r="AD227"/>
  <c r="AD228"/>
  <c r="AD229"/>
  <c r="AD230"/>
  <c r="AD231"/>
  <c r="AD232"/>
  <c r="AC233"/>
  <c r="AD233"/>
  <c r="AE233"/>
  <c r="AC234"/>
  <c r="AD234"/>
  <c r="AC235"/>
  <c r="AD235"/>
  <c r="AF235" s="1"/>
  <c r="AE235"/>
  <c r="AB235"/>
  <c r="AD210"/>
  <c r="AD211"/>
  <c r="AD212"/>
  <c r="AD219" s="1"/>
  <c r="AD213"/>
  <c r="AD214"/>
  <c r="AD215"/>
  <c r="AC216"/>
  <c r="AD216"/>
  <c r="AC217"/>
  <c r="AD217"/>
  <c r="AC218"/>
  <c r="AD218"/>
  <c r="AF218" s="1"/>
  <c r="AE218"/>
  <c r="AB218"/>
  <c r="AF204"/>
  <c r="AD196"/>
  <c r="AD197"/>
  <c r="AD198"/>
  <c r="AD205" s="1"/>
  <c r="AD199"/>
  <c r="AD200"/>
  <c r="AD201"/>
  <c r="AC202"/>
  <c r="AD202"/>
  <c r="AE202"/>
  <c r="AC203"/>
  <c r="AD203"/>
  <c r="AC204"/>
  <c r="AD204"/>
  <c r="AE204"/>
  <c r="AB204"/>
  <c r="AF190"/>
  <c r="AD182"/>
  <c r="AD183"/>
  <c r="AD184"/>
  <c r="AD185"/>
  <c r="AD186"/>
  <c r="AD187"/>
  <c r="AC188"/>
  <c r="AD188"/>
  <c r="AE188"/>
  <c r="AC189"/>
  <c r="AD189"/>
  <c r="AC190"/>
  <c r="AD190"/>
  <c r="AE190"/>
  <c r="AB190"/>
  <c r="AF173"/>
  <c r="AD165"/>
  <c r="AD166"/>
  <c r="AD167"/>
  <c r="AD168"/>
  <c r="AD169"/>
  <c r="AD170"/>
  <c r="AC171"/>
  <c r="AD171"/>
  <c r="AE171"/>
  <c r="AC172"/>
  <c r="AD172"/>
  <c r="AC173"/>
  <c r="AD173"/>
  <c r="AE173"/>
  <c r="AB173"/>
  <c r="AD151"/>
  <c r="AD152"/>
  <c r="AD153"/>
  <c r="AD154"/>
  <c r="AD155"/>
  <c r="AD156"/>
  <c r="AC157"/>
  <c r="AD157"/>
  <c r="AE157"/>
  <c r="AC158"/>
  <c r="AD158"/>
  <c r="AD160" s="1"/>
  <c r="AC159"/>
  <c r="AD159"/>
  <c r="AF159" s="1"/>
  <c r="AE159"/>
  <c r="AB159"/>
  <c r="AF145"/>
  <c r="AD137"/>
  <c r="AD138"/>
  <c r="AD139"/>
  <c r="AD140"/>
  <c r="AD141"/>
  <c r="AD142"/>
  <c r="AC143"/>
  <c r="AD143"/>
  <c r="AE143"/>
  <c r="AC144"/>
  <c r="AD144"/>
  <c r="AC145"/>
  <c r="AD145"/>
  <c r="AE145"/>
  <c r="AB145"/>
  <c r="AD119"/>
  <c r="AD120"/>
  <c r="AD121"/>
  <c r="AD122"/>
  <c r="AD123"/>
  <c r="AD124"/>
  <c r="AC125"/>
  <c r="AD125"/>
  <c r="AE125"/>
  <c r="AC126"/>
  <c r="AD126"/>
  <c r="AC127"/>
  <c r="AD127"/>
  <c r="AF127" s="1"/>
  <c r="AE127"/>
  <c r="AB127"/>
  <c r="AF114"/>
  <c r="AD106"/>
  <c r="AD107"/>
  <c r="AD108"/>
  <c r="AD109"/>
  <c r="AD110"/>
  <c r="AD111"/>
  <c r="AC112"/>
  <c r="AD112"/>
  <c r="AE112"/>
  <c r="AC113"/>
  <c r="AD113"/>
  <c r="AC114"/>
  <c r="AD114"/>
  <c r="AE114"/>
  <c r="AB114"/>
  <c r="AC98"/>
  <c r="AC99"/>
  <c r="AC100"/>
  <c r="AE100"/>
  <c r="AB100"/>
  <c r="AD74"/>
  <c r="AD75"/>
  <c r="AD76"/>
  <c r="AD77"/>
  <c r="AD78"/>
  <c r="AD79"/>
  <c r="AC80"/>
  <c r="AD80"/>
  <c r="AE80"/>
  <c r="AC81"/>
  <c r="AD81"/>
  <c r="AC82"/>
  <c r="AD82"/>
  <c r="AF82" s="1"/>
  <c r="AE82"/>
  <c r="AB82"/>
  <c r="AF69"/>
  <c r="AD61"/>
  <c r="AD62"/>
  <c r="AD63"/>
  <c r="AD64"/>
  <c r="AD65"/>
  <c r="AD66"/>
  <c r="AC67"/>
  <c r="AD67"/>
  <c r="AE67"/>
  <c r="AC68"/>
  <c r="AD68"/>
  <c r="AD70" s="1"/>
  <c r="AC69"/>
  <c r="AD69"/>
  <c r="AE69"/>
  <c r="AB69"/>
  <c r="AD47"/>
  <c r="AD48"/>
  <c r="AD49"/>
  <c r="AD50"/>
  <c r="AD51"/>
  <c r="AD52"/>
  <c r="AD53"/>
  <c r="AE53"/>
  <c r="AD54"/>
  <c r="AD55"/>
  <c r="AE55"/>
  <c r="AC53"/>
  <c r="AC54"/>
  <c r="AC55"/>
  <c r="AF41"/>
  <c r="AD33"/>
  <c r="AD34"/>
  <c r="AD42" s="1"/>
  <c r="AD35"/>
  <c r="AD36"/>
  <c r="AD37"/>
  <c r="AD38"/>
  <c r="AC39"/>
  <c r="AD39"/>
  <c r="AC40"/>
  <c r="AD40"/>
  <c r="AC41"/>
  <c r="AD41"/>
  <c r="AE41"/>
  <c r="AB41"/>
  <c r="AD20"/>
  <c r="AD21"/>
  <c r="AD22"/>
  <c r="AD23"/>
  <c r="AD24"/>
  <c r="AD25"/>
  <c r="AC26"/>
  <c r="AD26"/>
  <c r="AE26"/>
  <c r="AC27"/>
  <c r="AD27"/>
  <c r="AC28"/>
  <c r="AD28"/>
  <c r="AE28"/>
  <c r="AB28"/>
  <c r="AD6"/>
  <c r="AD7"/>
  <c r="AD8"/>
  <c r="AD9"/>
  <c r="AD10"/>
  <c r="AD96" s="1"/>
  <c r="AD11"/>
  <c r="AC12"/>
  <c r="AD12"/>
  <c r="AC13"/>
  <c r="AD13"/>
  <c r="AC14"/>
  <c r="AD14"/>
  <c r="AE14"/>
  <c r="AB14"/>
  <c r="AB55"/>
  <c r="I17" i="16" l="1"/>
  <c r="I10"/>
  <c r="I5"/>
  <c r="I9" s="1"/>
  <c r="I15"/>
  <c r="F20"/>
  <c r="I19"/>
  <c r="I12"/>
  <c r="I11"/>
  <c r="E20"/>
  <c r="E21" s="1"/>
  <c r="I16"/>
  <c r="L16" i="10"/>
  <c r="L38"/>
  <c r="H46"/>
  <c r="G8"/>
  <c r="G46" s="1"/>
  <c r="K39"/>
  <c r="J38"/>
  <c r="K38" s="1"/>
  <c r="L35"/>
  <c r="F34"/>
  <c r="L34" s="1"/>
  <c r="L9"/>
  <c r="F8"/>
  <c r="L8" s="1"/>
  <c r="K4"/>
  <c r="K35"/>
  <c r="K9"/>
  <c r="J16"/>
  <c r="K16" s="1"/>
  <c r="K17"/>
  <c r="L4"/>
  <c r="I8" i="21"/>
  <c r="I46" s="1"/>
  <c r="G46"/>
  <c r="F8"/>
  <c r="F46" s="1"/>
  <c r="H8"/>
  <c r="H46" s="1"/>
  <c r="AD250" i="14"/>
  <c r="AD236"/>
  <c r="AD146"/>
  <c r="AD128"/>
  <c r="AD115"/>
  <c r="AD83"/>
  <c r="AD99"/>
  <c r="AD97"/>
  <c r="AD93"/>
  <c r="AD258"/>
  <c r="AD29"/>
  <c r="AD264"/>
  <c r="AD262"/>
  <c r="AD259"/>
  <c r="AD92"/>
  <c r="AF14"/>
  <c r="AD94"/>
  <c r="AD260"/>
  <c r="AD100"/>
  <c r="AF100" s="1"/>
  <c r="AD98"/>
  <c r="AD95"/>
  <c r="AD263"/>
  <c r="AD261"/>
  <c r="AD257"/>
  <c r="Y256"/>
  <c r="Y257"/>
  <c r="Y258"/>
  <c r="Y259"/>
  <c r="Y260"/>
  <c r="Y261"/>
  <c r="X262"/>
  <c r="Y262"/>
  <c r="Z262"/>
  <c r="X263"/>
  <c r="Y263"/>
  <c r="X264"/>
  <c r="Y264"/>
  <c r="Z264"/>
  <c r="W264"/>
  <c r="D418"/>
  <c r="D437"/>
  <c r="D465"/>
  <c r="E465"/>
  <c r="D466"/>
  <c r="D485" s="1"/>
  <c r="E466"/>
  <c r="F466"/>
  <c r="D467"/>
  <c r="E467"/>
  <c r="F467"/>
  <c r="D468"/>
  <c r="E468"/>
  <c r="F468"/>
  <c r="D469"/>
  <c r="E469"/>
  <c r="F469"/>
  <c r="D470"/>
  <c r="E470"/>
  <c r="F470"/>
  <c r="D471"/>
  <c r="E471"/>
  <c r="F471"/>
  <c r="D472"/>
  <c r="E472"/>
  <c r="F472"/>
  <c r="D473"/>
  <c r="E473"/>
  <c r="F473"/>
  <c r="D474"/>
  <c r="E474"/>
  <c r="F474"/>
  <c r="D475"/>
  <c r="E475"/>
  <c r="F475"/>
  <c r="D476"/>
  <c r="E476"/>
  <c r="F476"/>
  <c r="D477"/>
  <c r="E477"/>
  <c r="F477"/>
  <c r="D478"/>
  <c r="E478"/>
  <c r="F478"/>
  <c r="D479"/>
  <c r="E479"/>
  <c r="F479"/>
  <c r="D480"/>
  <c r="E480"/>
  <c r="F480"/>
  <c r="D481"/>
  <c r="E481"/>
  <c r="F481"/>
  <c r="D482"/>
  <c r="E482"/>
  <c r="F482"/>
  <c r="D483"/>
  <c r="E483"/>
  <c r="F483"/>
  <c r="D484"/>
  <c r="E484"/>
  <c r="F484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E485"/>
  <c r="F485"/>
  <c r="C31" i="12"/>
  <c r="E437" i="14"/>
  <c r="F437"/>
  <c r="C437"/>
  <c r="D413"/>
  <c r="E413"/>
  <c r="F413"/>
  <c r="G413"/>
  <c r="C413"/>
  <c r="D390"/>
  <c r="E390"/>
  <c r="F390"/>
  <c r="G390"/>
  <c r="C390"/>
  <c r="D366"/>
  <c r="E366"/>
  <c r="F366"/>
  <c r="G366"/>
  <c r="C366"/>
  <c r="D341"/>
  <c r="E341"/>
  <c r="F341"/>
  <c r="G341"/>
  <c r="C341"/>
  <c r="D317"/>
  <c r="E317"/>
  <c r="F317"/>
  <c r="G317"/>
  <c r="C317"/>
  <c r="D292"/>
  <c r="E292"/>
  <c r="F292"/>
  <c r="G292"/>
  <c r="C292"/>
  <c r="D371"/>
  <c r="H152"/>
  <c r="K152" s="1"/>
  <c r="U152" s="1"/>
  <c r="H120"/>
  <c r="J159"/>
  <c r="J158"/>
  <c r="J157"/>
  <c r="J156"/>
  <c r="J155"/>
  <c r="J154"/>
  <c r="J153"/>
  <c r="J152"/>
  <c r="I152"/>
  <c r="U264"/>
  <c r="C242"/>
  <c r="I242"/>
  <c r="U249"/>
  <c r="U241"/>
  <c r="U228"/>
  <c r="U229"/>
  <c r="U230"/>
  <c r="U231"/>
  <c r="U232"/>
  <c r="U233"/>
  <c r="U234"/>
  <c r="U235"/>
  <c r="U227"/>
  <c r="U218"/>
  <c r="U210"/>
  <c r="U197"/>
  <c r="U198"/>
  <c r="U199"/>
  <c r="U200"/>
  <c r="U201"/>
  <c r="U202"/>
  <c r="U203"/>
  <c r="U204"/>
  <c r="U196"/>
  <c r="U183"/>
  <c r="U184"/>
  <c r="U185"/>
  <c r="U186"/>
  <c r="U187"/>
  <c r="U188"/>
  <c r="U189"/>
  <c r="U190"/>
  <c r="U182"/>
  <c r="U166"/>
  <c r="U167"/>
  <c r="U168"/>
  <c r="U169"/>
  <c r="U170"/>
  <c r="U171"/>
  <c r="U172"/>
  <c r="U173"/>
  <c r="U165"/>
  <c r="U159"/>
  <c r="U151"/>
  <c r="U138"/>
  <c r="U139"/>
  <c r="U140"/>
  <c r="U141"/>
  <c r="U142"/>
  <c r="U143"/>
  <c r="U144"/>
  <c r="U145"/>
  <c r="U137"/>
  <c r="U120"/>
  <c r="U121"/>
  <c r="U122"/>
  <c r="U123"/>
  <c r="U124"/>
  <c r="U125"/>
  <c r="U126"/>
  <c r="U127"/>
  <c r="U119"/>
  <c r="U107"/>
  <c r="U108"/>
  <c r="U109"/>
  <c r="U110"/>
  <c r="U111"/>
  <c r="U112"/>
  <c r="U113"/>
  <c r="U114"/>
  <c r="U115"/>
  <c r="U106"/>
  <c r="U75"/>
  <c r="U76"/>
  <c r="U77"/>
  <c r="U78"/>
  <c r="U79"/>
  <c r="U80"/>
  <c r="U81"/>
  <c r="U82"/>
  <c r="U74"/>
  <c r="U62"/>
  <c r="U63"/>
  <c r="U64"/>
  <c r="U65"/>
  <c r="U66"/>
  <c r="U67"/>
  <c r="U68"/>
  <c r="U69"/>
  <c r="U61"/>
  <c r="U48"/>
  <c r="U49"/>
  <c r="U50"/>
  <c r="U51"/>
  <c r="U52"/>
  <c r="U53"/>
  <c r="U54"/>
  <c r="U55"/>
  <c r="U47"/>
  <c r="U41"/>
  <c r="U21"/>
  <c r="U22"/>
  <c r="U23"/>
  <c r="U24"/>
  <c r="U25"/>
  <c r="U26"/>
  <c r="U27"/>
  <c r="U28"/>
  <c r="U20"/>
  <c r="U14"/>
  <c r="U6"/>
  <c r="Z98"/>
  <c r="Z100"/>
  <c r="U236"/>
  <c r="S196"/>
  <c r="S197"/>
  <c r="S198"/>
  <c r="S199"/>
  <c r="S200"/>
  <c r="S201"/>
  <c r="S202"/>
  <c r="S203"/>
  <c r="S204"/>
  <c r="R197"/>
  <c r="R198"/>
  <c r="R199"/>
  <c r="R200"/>
  <c r="R201"/>
  <c r="R202"/>
  <c r="R203"/>
  <c r="R204"/>
  <c r="S182"/>
  <c r="S183"/>
  <c r="S184"/>
  <c r="S185"/>
  <c r="S186"/>
  <c r="S187"/>
  <c r="S188"/>
  <c r="S189"/>
  <c r="S190"/>
  <c r="R183"/>
  <c r="R184"/>
  <c r="R185"/>
  <c r="R186"/>
  <c r="R187"/>
  <c r="R188"/>
  <c r="R189"/>
  <c r="R190"/>
  <c r="S165"/>
  <c r="S166"/>
  <c r="S167"/>
  <c r="S168"/>
  <c r="S169"/>
  <c r="S170"/>
  <c r="S171"/>
  <c r="S172"/>
  <c r="S173"/>
  <c r="R166"/>
  <c r="R167"/>
  <c r="R168"/>
  <c r="R169"/>
  <c r="R170"/>
  <c r="R171"/>
  <c r="R172"/>
  <c r="R173"/>
  <c r="S151"/>
  <c r="S152"/>
  <c r="S153"/>
  <c r="S154"/>
  <c r="S155"/>
  <c r="S156"/>
  <c r="S157"/>
  <c r="S158"/>
  <c r="S159"/>
  <c r="R152"/>
  <c r="R153"/>
  <c r="R154"/>
  <c r="R155"/>
  <c r="R156"/>
  <c r="R157"/>
  <c r="R158"/>
  <c r="R159"/>
  <c r="R151"/>
  <c r="S137"/>
  <c r="S138"/>
  <c r="S139"/>
  <c r="S140"/>
  <c r="S141"/>
  <c r="S142"/>
  <c r="S143"/>
  <c r="S144"/>
  <c r="S145"/>
  <c r="R138"/>
  <c r="R139"/>
  <c r="R140"/>
  <c r="R141"/>
  <c r="R142"/>
  <c r="R143"/>
  <c r="R144"/>
  <c r="R145"/>
  <c r="S119"/>
  <c r="S120"/>
  <c r="S121"/>
  <c r="S122"/>
  <c r="S123"/>
  <c r="S124"/>
  <c r="S125"/>
  <c r="S126"/>
  <c r="S127"/>
  <c r="R119"/>
  <c r="S106"/>
  <c r="S107"/>
  <c r="S108"/>
  <c r="S109"/>
  <c r="S110"/>
  <c r="S111"/>
  <c r="S112"/>
  <c r="S113"/>
  <c r="S114"/>
  <c r="R106"/>
  <c r="S94"/>
  <c r="T94"/>
  <c r="T95"/>
  <c r="T96"/>
  <c r="T97"/>
  <c r="S98"/>
  <c r="T98"/>
  <c r="S99"/>
  <c r="T99"/>
  <c r="S100"/>
  <c r="T100"/>
  <c r="U100"/>
  <c r="R98"/>
  <c r="R100"/>
  <c r="R92"/>
  <c r="U70"/>
  <c r="U56"/>
  <c r="U29"/>
  <c r="V107"/>
  <c r="AA145"/>
  <c r="AA159"/>
  <c r="Y92"/>
  <c r="Y93"/>
  <c r="Y94"/>
  <c r="Y95"/>
  <c r="Y96"/>
  <c r="Y97"/>
  <c r="X98"/>
  <c r="Y98"/>
  <c r="X99"/>
  <c r="Y99"/>
  <c r="X100"/>
  <c r="Y100"/>
  <c r="W100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D394"/>
  <c r="D227"/>
  <c r="D211"/>
  <c r="W33"/>
  <c r="AB33" s="1"/>
  <c r="W20"/>
  <c r="AB20" s="1"/>
  <c r="U272"/>
  <c r="V41"/>
  <c r="R80"/>
  <c r="R82"/>
  <c r="R20"/>
  <c r="S8"/>
  <c r="R12"/>
  <c r="S12"/>
  <c r="S13"/>
  <c r="R14"/>
  <c r="S14"/>
  <c r="L6"/>
  <c r="L256"/>
  <c r="E19" i="19"/>
  <c r="E4"/>
  <c r="D20"/>
  <c r="E11" s="1"/>
  <c r="W7" i="12"/>
  <c r="Z7"/>
  <c r="E15" i="19" l="1"/>
  <c r="E20"/>
  <c r="E3"/>
  <c r="E7"/>
  <c r="I20" i="16"/>
  <c r="I21"/>
  <c r="J8" i="10"/>
  <c r="K8" s="1"/>
  <c r="J34"/>
  <c r="K34" s="1"/>
  <c r="F46"/>
  <c r="AD265" i="14"/>
  <c r="AD101"/>
  <c r="Y265"/>
  <c r="AB6"/>
  <c r="G466"/>
  <c r="G485" s="1"/>
  <c r="U128"/>
  <c r="E10" i="19"/>
  <c r="E14"/>
  <c r="E18"/>
  <c r="E6"/>
  <c r="E9"/>
  <c r="E13"/>
  <c r="E17"/>
  <c r="E5"/>
  <c r="E8"/>
  <c r="E12"/>
  <c r="E16"/>
  <c r="M75" i="14"/>
  <c r="L75"/>
  <c r="R75" s="1"/>
  <c r="M62"/>
  <c r="L62"/>
  <c r="M48"/>
  <c r="L48"/>
  <c r="L33"/>
  <c r="S7"/>
  <c r="L20"/>
  <c r="J11"/>
  <c r="J10"/>
  <c r="J9"/>
  <c r="J8"/>
  <c r="L11"/>
  <c r="R11" s="1"/>
  <c r="L10"/>
  <c r="R10" s="1"/>
  <c r="L8"/>
  <c r="R8" s="1"/>
  <c r="R102"/>
  <c r="M20"/>
  <c r="S20" s="1"/>
  <c r="D83"/>
  <c r="E83"/>
  <c r="F83"/>
  <c r="C83"/>
  <c r="E70"/>
  <c r="F70"/>
  <c r="E56"/>
  <c r="F56"/>
  <c r="E42"/>
  <c r="F42"/>
  <c r="G20"/>
  <c r="G29" s="1"/>
  <c r="G28"/>
  <c r="E29"/>
  <c r="F29"/>
  <c r="D29"/>
  <c r="J46" i="10" l="1"/>
  <c r="R7" i="14"/>
  <c r="M33"/>
  <c r="V20"/>
  <c r="G16" i="15" l="1"/>
  <c r="H16"/>
  <c r="I16"/>
  <c r="F16"/>
  <c r="F12"/>
  <c r="F6"/>
  <c r="D16"/>
  <c r="B12"/>
  <c r="C16"/>
  <c r="B16"/>
  <c r="E11"/>
  <c r="E7"/>
  <c r="E6"/>
  <c r="D14" i="2"/>
  <c r="B14"/>
  <c r="D13"/>
  <c r="B13"/>
  <c r="D12"/>
  <c r="C11"/>
  <c r="B11"/>
  <c r="D18" i="16" l="1"/>
  <c r="H14" i="15"/>
  <c r="G14"/>
  <c r="C12"/>
  <c r="M6" i="14"/>
  <c r="H242"/>
  <c r="H227"/>
  <c r="H211"/>
  <c r="H196"/>
  <c r="H20"/>
  <c r="H33"/>
  <c r="H48"/>
  <c r="H62"/>
  <c r="H75"/>
  <c r="K200"/>
  <c r="K199"/>
  <c r="K198"/>
  <c r="K196"/>
  <c r="D20"/>
  <c r="D242"/>
  <c r="D196"/>
  <c r="C196"/>
  <c r="D120"/>
  <c r="C120"/>
  <c r="D75"/>
  <c r="C75"/>
  <c r="D48"/>
  <c r="C48"/>
  <c r="C33"/>
  <c r="C20"/>
  <c r="P45" i="12"/>
  <c r="Q45"/>
  <c r="S45"/>
  <c r="T45"/>
  <c r="V45"/>
  <c r="C44"/>
  <c r="D44"/>
  <c r="E44"/>
  <c r="F44"/>
  <c r="G44"/>
  <c r="H44"/>
  <c r="I44"/>
  <c r="J44"/>
  <c r="K44"/>
  <c r="K45" s="1"/>
  <c r="L44"/>
  <c r="L45" s="1"/>
  <c r="M44"/>
  <c r="N44"/>
  <c r="O44"/>
  <c r="P44"/>
  <c r="Q44"/>
  <c r="R44"/>
  <c r="S44"/>
  <c r="T44"/>
  <c r="U44"/>
  <c r="V44"/>
  <c r="B44"/>
  <c r="K33"/>
  <c r="L33"/>
  <c r="P33"/>
  <c r="Q33"/>
  <c r="S33"/>
  <c r="T33"/>
  <c r="V33"/>
  <c r="C32"/>
  <c r="C33" s="1"/>
  <c r="C8" i="2" s="1"/>
  <c r="D32" i="12"/>
  <c r="E32"/>
  <c r="E33" s="1"/>
  <c r="B9" i="2" s="1"/>
  <c r="F32" i="12"/>
  <c r="G32"/>
  <c r="H32"/>
  <c r="I32"/>
  <c r="J32"/>
  <c r="K32"/>
  <c r="L32"/>
  <c r="M32"/>
  <c r="N32"/>
  <c r="O32"/>
  <c r="P32"/>
  <c r="Q32"/>
  <c r="R32"/>
  <c r="S32"/>
  <c r="T32"/>
  <c r="U32"/>
  <c r="V32"/>
  <c r="B32"/>
  <c r="B33" s="1"/>
  <c r="C23"/>
  <c r="D23"/>
  <c r="D33" s="1"/>
  <c r="D8" i="2" s="1"/>
  <c r="E23" i="12"/>
  <c r="F23"/>
  <c r="G23"/>
  <c r="H23"/>
  <c r="I23"/>
  <c r="J23"/>
  <c r="K23"/>
  <c r="L23"/>
  <c r="M23"/>
  <c r="N23"/>
  <c r="O23"/>
  <c r="O33" s="1"/>
  <c r="P23"/>
  <c r="Q23"/>
  <c r="R23"/>
  <c r="R33" s="1"/>
  <c r="S23"/>
  <c r="T23"/>
  <c r="U23"/>
  <c r="U33" s="1"/>
  <c r="V23"/>
  <c r="B23"/>
  <c r="H33" l="1"/>
  <c r="B10" i="2" s="1"/>
  <c r="C13"/>
  <c r="R45" i="12"/>
  <c r="C14" i="2"/>
  <c r="U45" i="12"/>
  <c r="D45"/>
  <c r="B8" i="2"/>
  <c r="B45" i="12"/>
  <c r="C45"/>
  <c r="M33"/>
  <c r="M45" s="1"/>
  <c r="J33"/>
  <c r="D10" i="2" s="1"/>
  <c r="I33" i="12"/>
  <c r="C10" i="2" s="1"/>
  <c r="G33" i="12"/>
  <c r="D9" i="2" s="1"/>
  <c r="F33" i="12"/>
  <c r="C9" i="2" s="1"/>
  <c r="E45" i="12"/>
  <c r="N33"/>
  <c r="C12" i="2"/>
  <c r="O45" i="12"/>
  <c r="B12" i="2"/>
  <c r="N45" i="12"/>
  <c r="I120" i="14"/>
  <c r="C21" i="12"/>
  <c r="C20"/>
  <c r="C30"/>
  <c r="C29"/>
  <c r="H45" l="1"/>
  <c r="V6" i="14"/>
  <c r="D11" i="2"/>
  <c r="J45" i="12"/>
  <c r="I45"/>
  <c r="G45"/>
  <c r="F45"/>
  <c r="X36"/>
  <c r="X38"/>
  <c r="X39"/>
  <c r="X40"/>
  <c r="L35"/>
  <c r="X35" s="1"/>
  <c r="C37"/>
  <c r="X37" s="1"/>
  <c r="X41"/>
  <c r="X42"/>
  <c r="X43"/>
  <c r="X44" s="1"/>
  <c r="W36"/>
  <c r="W37"/>
  <c r="W38"/>
  <c r="W39"/>
  <c r="W40"/>
  <c r="W41"/>
  <c r="W42"/>
  <c r="W43"/>
  <c r="W44" s="1"/>
  <c r="W35"/>
  <c r="W32"/>
  <c r="X8"/>
  <c r="X10"/>
  <c r="X11"/>
  <c r="X12"/>
  <c r="X13"/>
  <c r="X14"/>
  <c r="X16"/>
  <c r="X17"/>
  <c r="X18"/>
  <c r="X19"/>
  <c r="X20"/>
  <c r="X21"/>
  <c r="X22"/>
  <c r="X7"/>
  <c r="W10"/>
  <c r="W11"/>
  <c r="W12"/>
  <c r="W13"/>
  <c r="W14"/>
  <c r="W16"/>
  <c r="W17"/>
  <c r="W18"/>
  <c r="W19"/>
  <c r="W20"/>
  <c r="W21"/>
  <c r="W22"/>
  <c r="D236" i="14"/>
  <c r="C227"/>
  <c r="C211"/>
  <c r="F236"/>
  <c r="E236"/>
  <c r="C236"/>
  <c r="D219"/>
  <c r="E219"/>
  <c r="F219"/>
  <c r="C219"/>
  <c r="D205"/>
  <c r="E205"/>
  <c r="F205"/>
  <c r="C205"/>
  <c r="D160"/>
  <c r="E160"/>
  <c r="F160"/>
  <c r="C160"/>
  <c r="D128"/>
  <c r="E128"/>
  <c r="F128"/>
  <c r="C128"/>
  <c r="X32" i="12" l="1"/>
  <c r="X23"/>
  <c r="Y20"/>
  <c r="F250" i="14"/>
  <c r="D250"/>
  <c r="E250"/>
  <c r="C250"/>
  <c r="D70"/>
  <c r="C70"/>
  <c r="D56"/>
  <c r="C56"/>
  <c r="C42"/>
  <c r="C29"/>
  <c r="D191"/>
  <c r="E191"/>
  <c r="C191"/>
  <c r="F182"/>
  <c r="F191" s="1"/>
  <c r="F190"/>
  <c r="D174"/>
  <c r="E174"/>
  <c r="F165"/>
  <c r="E146"/>
  <c r="F146"/>
  <c r="D138"/>
  <c r="D146" s="1"/>
  <c r="D115"/>
  <c r="E115"/>
  <c r="F115"/>
  <c r="C115"/>
  <c r="L15" i="12"/>
  <c r="X15" s="1"/>
  <c r="H15"/>
  <c r="W15" s="1"/>
  <c r="W23" s="1"/>
  <c r="W33" s="1"/>
  <c r="W45" s="1"/>
  <c r="C15" i="1"/>
  <c r="F10" i="5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5"/>
  <c r="F9"/>
  <c r="E36"/>
  <c r="D36"/>
  <c r="C36"/>
  <c r="B36"/>
  <c r="P7" i="8"/>
  <c r="P8"/>
  <c r="P9"/>
  <c r="P10"/>
  <c r="P11"/>
  <c r="P12"/>
  <c r="P13"/>
  <c r="P14"/>
  <c r="P15"/>
  <c r="P16"/>
  <c r="P17"/>
  <c r="P18"/>
  <c r="P19"/>
  <c r="S20"/>
  <c r="S21"/>
  <c r="S22"/>
  <c r="S23"/>
  <c r="S26"/>
  <c r="O27"/>
  <c r="P27"/>
  <c r="O28"/>
  <c r="S28" s="1"/>
  <c r="P28"/>
  <c r="O29"/>
  <c r="P29"/>
  <c r="O30"/>
  <c r="P30"/>
  <c r="O31"/>
  <c r="P31"/>
  <c r="O32"/>
  <c r="P32"/>
  <c r="O33"/>
  <c r="P33"/>
  <c r="O34"/>
  <c r="P34"/>
  <c r="O35"/>
  <c r="P35"/>
  <c r="O36"/>
  <c r="P36"/>
  <c r="O37"/>
  <c r="P37"/>
  <c r="I8"/>
  <c r="I9"/>
  <c r="I10"/>
  <c r="I11"/>
  <c r="I12"/>
  <c r="I13"/>
  <c r="I14"/>
  <c r="I15"/>
  <c r="I16"/>
  <c r="I17"/>
  <c r="I18"/>
  <c r="I19"/>
  <c r="I20"/>
  <c r="I21"/>
  <c r="I22"/>
  <c r="I23"/>
  <c r="I24"/>
  <c r="I26"/>
  <c r="I27"/>
  <c r="I28"/>
  <c r="I29"/>
  <c r="I30"/>
  <c r="I31"/>
  <c r="I32"/>
  <c r="I33"/>
  <c r="I34"/>
  <c r="I35"/>
  <c r="I36"/>
  <c r="I37"/>
  <c r="I7"/>
  <c r="F8"/>
  <c r="F9"/>
  <c r="F10"/>
  <c r="F11"/>
  <c r="F12"/>
  <c r="F13"/>
  <c r="F14"/>
  <c r="F15"/>
  <c r="F16"/>
  <c r="F17"/>
  <c r="F18"/>
  <c r="F19"/>
  <c r="F20"/>
  <c r="F21"/>
  <c r="F22"/>
  <c r="F23"/>
  <c r="F24"/>
  <c r="F26"/>
  <c r="F27"/>
  <c r="F28"/>
  <c r="F29"/>
  <c r="F30"/>
  <c r="F31"/>
  <c r="F32"/>
  <c r="F33"/>
  <c r="F34"/>
  <c r="F35"/>
  <c r="F36"/>
  <c r="F37"/>
  <c r="F7"/>
  <c r="E38"/>
  <c r="B38"/>
  <c r="C38"/>
  <c r="F8" i="7"/>
  <c r="D8" i="6"/>
  <c r="I3" i="16"/>
  <c r="I15" i="15"/>
  <c r="H15"/>
  <c r="G15"/>
  <c r="I13"/>
  <c r="H13"/>
  <c r="G13"/>
  <c r="E12"/>
  <c r="D12"/>
  <c r="H11"/>
  <c r="H10"/>
  <c r="H9"/>
  <c r="H8"/>
  <c r="H7"/>
  <c r="H6"/>
  <c r="O484" i="14"/>
  <c r="N484"/>
  <c r="M484"/>
  <c r="L484"/>
  <c r="P484" s="1"/>
  <c r="O483"/>
  <c r="N483"/>
  <c r="M483"/>
  <c r="L483"/>
  <c r="P483" s="1"/>
  <c r="O482"/>
  <c r="N482"/>
  <c r="M482"/>
  <c r="L482"/>
  <c r="P482" s="1"/>
  <c r="O481"/>
  <c r="N481"/>
  <c r="M481"/>
  <c r="L481"/>
  <c r="P481" s="1"/>
  <c r="O480"/>
  <c r="N480"/>
  <c r="M480"/>
  <c r="L480"/>
  <c r="P480" s="1"/>
  <c r="O479"/>
  <c r="N479"/>
  <c r="M479"/>
  <c r="L479"/>
  <c r="P479" s="1"/>
  <c r="O478"/>
  <c r="N478"/>
  <c r="M478"/>
  <c r="L478"/>
  <c r="P478" s="1"/>
  <c r="O477"/>
  <c r="N477"/>
  <c r="M477"/>
  <c r="L477"/>
  <c r="P477" s="1"/>
  <c r="O476"/>
  <c r="N476"/>
  <c r="M476"/>
  <c r="L476"/>
  <c r="P476" s="1"/>
  <c r="O475"/>
  <c r="N475"/>
  <c r="M475"/>
  <c r="L475"/>
  <c r="P475" s="1"/>
  <c r="O474"/>
  <c r="N474"/>
  <c r="M474"/>
  <c r="L474"/>
  <c r="P474" s="1"/>
  <c r="O473"/>
  <c r="N473"/>
  <c r="M473"/>
  <c r="L473"/>
  <c r="P473" s="1"/>
  <c r="O472"/>
  <c r="N472"/>
  <c r="M472"/>
  <c r="L472"/>
  <c r="P472" s="1"/>
  <c r="O471"/>
  <c r="N471"/>
  <c r="M471"/>
  <c r="L471"/>
  <c r="P471" s="1"/>
  <c r="O470"/>
  <c r="N470"/>
  <c r="M470"/>
  <c r="L470"/>
  <c r="P470" s="1"/>
  <c r="O469"/>
  <c r="N469"/>
  <c r="M469"/>
  <c r="L469"/>
  <c r="P469" s="1"/>
  <c r="O468"/>
  <c r="N468"/>
  <c r="M468"/>
  <c r="L468"/>
  <c r="P468" s="1"/>
  <c r="O467"/>
  <c r="N467"/>
  <c r="M467"/>
  <c r="L467"/>
  <c r="P467" s="1"/>
  <c r="O466"/>
  <c r="N466"/>
  <c r="M466"/>
  <c r="L466"/>
  <c r="O465"/>
  <c r="O485" s="1"/>
  <c r="N465"/>
  <c r="M465"/>
  <c r="L465"/>
  <c r="O461"/>
  <c r="N461"/>
  <c r="M461"/>
  <c r="L461"/>
  <c r="P460"/>
  <c r="U460"/>
  <c r="T460"/>
  <c r="S460"/>
  <c r="P459"/>
  <c r="U459"/>
  <c r="T459"/>
  <c r="S459"/>
  <c r="R459"/>
  <c r="P458"/>
  <c r="U458"/>
  <c r="T458"/>
  <c r="S458"/>
  <c r="R458"/>
  <c r="P457"/>
  <c r="U457"/>
  <c r="T457"/>
  <c r="S457"/>
  <c r="P456"/>
  <c r="U456"/>
  <c r="T456"/>
  <c r="S456"/>
  <c r="P455"/>
  <c r="U455"/>
  <c r="T455"/>
  <c r="S455"/>
  <c r="R455"/>
  <c r="P454"/>
  <c r="U454"/>
  <c r="T454"/>
  <c r="S454"/>
  <c r="R454"/>
  <c r="P453"/>
  <c r="U453"/>
  <c r="T453"/>
  <c r="S453"/>
  <c r="P452"/>
  <c r="U452"/>
  <c r="T452"/>
  <c r="S452"/>
  <c r="P451"/>
  <c r="U451"/>
  <c r="T451"/>
  <c r="S451"/>
  <c r="R451"/>
  <c r="P450"/>
  <c r="U450"/>
  <c r="T450"/>
  <c r="S450"/>
  <c r="R450"/>
  <c r="P449"/>
  <c r="U449"/>
  <c r="T449"/>
  <c r="S449"/>
  <c r="P448"/>
  <c r="U448"/>
  <c r="T448"/>
  <c r="S448"/>
  <c r="P447"/>
  <c r="U447"/>
  <c r="T447"/>
  <c r="S447"/>
  <c r="R447"/>
  <c r="P446"/>
  <c r="U446"/>
  <c r="T446"/>
  <c r="S446"/>
  <c r="R446"/>
  <c r="P445"/>
  <c r="U445"/>
  <c r="T445"/>
  <c r="S445"/>
  <c r="R445"/>
  <c r="P444"/>
  <c r="U444"/>
  <c r="T444"/>
  <c r="S444"/>
  <c r="P443"/>
  <c r="U443"/>
  <c r="T443"/>
  <c r="S443"/>
  <c r="P442"/>
  <c r="P441"/>
  <c r="U441"/>
  <c r="O437"/>
  <c r="N437"/>
  <c r="M437"/>
  <c r="L437"/>
  <c r="U437"/>
  <c r="T437"/>
  <c r="S437"/>
  <c r="R437"/>
  <c r="U436"/>
  <c r="T436"/>
  <c r="S436"/>
  <c r="R436"/>
  <c r="P436"/>
  <c r="G436"/>
  <c r="U435"/>
  <c r="T435"/>
  <c r="S435"/>
  <c r="R435"/>
  <c r="P435"/>
  <c r="G435"/>
  <c r="U434"/>
  <c r="T434"/>
  <c r="S434"/>
  <c r="R434"/>
  <c r="P434"/>
  <c r="G434"/>
  <c r="U433"/>
  <c r="T433"/>
  <c r="S433"/>
  <c r="R433"/>
  <c r="P433"/>
  <c r="G433"/>
  <c r="U432"/>
  <c r="T432"/>
  <c r="S432"/>
  <c r="R432"/>
  <c r="P432"/>
  <c r="G432"/>
  <c r="U431"/>
  <c r="T431"/>
  <c r="S431"/>
  <c r="R431"/>
  <c r="P431"/>
  <c r="G431"/>
  <c r="U430"/>
  <c r="T430"/>
  <c r="S430"/>
  <c r="R430"/>
  <c r="P430"/>
  <c r="G430"/>
  <c r="U429"/>
  <c r="T429"/>
  <c r="S429"/>
  <c r="R429"/>
  <c r="P429"/>
  <c r="G429"/>
  <c r="U428"/>
  <c r="T428"/>
  <c r="S428"/>
  <c r="R428"/>
  <c r="P428"/>
  <c r="G428"/>
  <c r="U427"/>
  <c r="T427"/>
  <c r="S427"/>
  <c r="R427"/>
  <c r="P427"/>
  <c r="G427"/>
  <c r="U426"/>
  <c r="T426"/>
  <c r="S426"/>
  <c r="R426"/>
  <c r="P426"/>
  <c r="G426"/>
  <c r="U425"/>
  <c r="T425"/>
  <c r="S425"/>
  <c r="R425"/>
  <c r="P425"/>
  <c r="G425"/>
  <c r="U424"/>
  <c r="T424"/>
  <c r="S424"/>
  <c r="R424"/>
  <c r="V424" s="1"/>
  <c r="P424"/>
  <c r="G424"/>
  <c r="U423"/>
  <c r="T423"/>
  <c r="S423"/>
  <c r="R423"/>
  <c r="P423"/>
  <c r="G423"/>
  <c r="U422"/>
  <c r="T422"/>
  <c r="S422"/>
  <c r="R422"/>
  <c r="V422" s="1"/>
  <c r="P422"/>
  <c r="G422"/>
  <c r="U421"/>
  <c r="T421"/>
  <c r="S421"/>
  <c r="R421"/>
  <c r="P421"/>
  <c r="G421"/>
  <c r="U420"/>
  <c r="T420"/>
  <c r="S420"/>
  <c r="R420"/>
  <c r="P420"/>
  <c r="G420"/>
  <c r="U419"/>
  <c r="T419"/>
  <c r="S419"/>
  <c r="R419"/>
  <c r="P419"/>
  <c r="G419"/>
  <c r="U418"/>
  <c r="T418"/>
  <c r="S418"/>
  <c r="R418"/>
  <c r="P418"/>
  <c r="G418"/>
  <c r="G437" s="1"/>
  <c r="U417"/>
  <c r="T417"/>
  <c r="S417"/>
  <c r="R417"/>
  <c r="P417"/>
  <c r="G417"/>
  <c r="O413"/>
  <c r="N413"/>
  <c r="M413"/>
  <c r="L413"/>
  <c r="K413"/>
  <c r="J413"/>
  <c r="I413"/>
  <c r="H413"/>
  <c r="U412"/>
  <c r="T412"/>
  <c r="S412"/>
  <c r="R412"/>
  <c r="V412" s="1"/>
  <c r="P412"/>
  <c r="G412"/>
  <c r="U411"/>
  <c r="T411"/>
  <c r="S411"/>
  <c r="R411"/>
  <c r="P411"/>
  <c r="G411"/>
  <c r="U410"/>
  <c r="T410"/>
  <c r="S410"/>
  <c r="R410"/>
  <c r="V410" s="1"/>
  <c r="P410"/>
  <c r="G410"/>
  <c r="U409"/>
  <c r="T409"/>
  <c r="S409"/>
  <c r="R409"/>
  <c r="P409"/>
  <c r="G409"/>
  <c r="U408"/>
  <c r="T408"/>
  <c r="S408"/>
  <c r="R408"/>
  <c r="V408" s="1"/>
  <c r="P408"/>
  <c r="G408"/>
  <c r="U407"/>
  <c r="T407"/>
  <c r="S407"/>
  <c r="R407"/>
  <c r="P407"/>
  <c r="G407"/>
  <c r="U406"/>
  <c r="T406"/>
  <c r="S406"/>
  <c r="R406"/>
  <c r="V406" s="1"/>
  <c r="P406"/>
  <c r="G406"/>
  <c r="U405"/>
  <c r="T405"/>
  <c r="S405"/>
  <c r="R405"/>
  <c r="P405"/>
  <c r="G405"/>
  <c r="U404"/>
  <c r="T404"/>
  <c r="S404"/>
  <c r="R404"/>
  <c r="V404" s="1"/>
  <c r="P404"/>
  <c r="G404"/>
  <c r="U403"/>
  <c r="T403"/>
  <c r="S403"/>
  <c r="R403"/>
  <c r="P403"/>
  <c r="G403"/>
  <c r="U402"/>
  <c r="T402"/>
  <c r="S402"/>
  <c r="R402"/>
  <c r="V402" s="1"/>
  <c r="P402"/>
  <c r="G402"/>
  <c r="U401"/>
  <c r="T401"/>
  <c r="S401"/>
  <c r="R401"/>
  <c r="P401"/>
  <c r="G401"/>
  <c r="U400"/>
  <c r="T400"/>
  <c r="S400"/>
  <c r="R400"/>
  <c r="V400" s="1"/>
  <c r="P400"/>
  <c r="G400"/>
  <c r="U399"/>
  <c r="T399"/>
  <c r="S399"/>
  <c r="R399"/>
  <c r="P399"/>
  <c r="G399"/>
  <c r="U398"/>
  <c r="T398"/>
  <c r="S398"/>
  <c r="R398"/>
  <c r="V398" s="1"/>
  <c r="P398"/>
  <c r="G398"/>
  <c r="U397"/>
  <c r="T397"/>
  <c r="S397"/>
  <c r="R397"/>
  <c r="P397"/>
  <c r="G397"/>
  <c r="U396"/>
  <c r="T396"/>
  <c r="S396"/>
  <c r="R396"/>
  <c r="P396"/>
  <c r="G396"/>
  <c r="U395"/>
  <c r="T395"/>
  <c r="S395"/>
  <c r="R395"/>
  <c r="P395"/>
  <c r="G395"/>
  <c r="U394"/>
  <c r="T394"/>
  <c r="S394"/>
  <c r="R394"/>
  <c r="P394"/>
  <c r="G394"/>
  <c r="U393"/>
  <c r="T393"/>
  <c r="S393"/>
  <c r="R393"/>
  <c r="P393"/>
  <c r="G393"/>
  <c r="O390"/>
  <c r="N390"/>
  <c r="M390"/>
  <c r="L390"/>
  <c r="U390"/>
  <c r="S390"/>
  <c r="R390"/>
  <c r="U389"/>
  <c r="T389"/>
  <c r="S389"/>
  <c r="R389"/>
  <c r="P389"/>
  <c r="G389"/>
  <c r="U388"/>
  <c r="T388"/>
  <c r="S388"/>
  <c r="R388"/>
  <c r="P388"/>
  <c r="G388"/>
  <c r="U387"/>
  <c r="T387"/>
  <c r="S387"/>
  <c r="R387"/>
  <c r="V387" s="1"/>
  <c r="P387"/>
  <c r="G387"/>
  <c r="U386"/>
  <c r="T386"/>
  <c r="S386"/>
  <c r="R386"/>
  <c r="P386"/>
  <c r="G386"/>
  <c r="U385"/>
  <c r="T385"/>
  <c r="S385"/>
  <c r="R385"/>
  <c r="V385" s="1"/>
  <c r="P385"/>
  <c r="G385"/>
  <c r="U384"/>
  <c r="T384"/>
  <c r="S384"/>
  <c r="R384"/>
  <c r="P384"/>
  <c r="G384"/>
  <c r="U383"/>
  <c r="T383"/>
  <c r="S383"/>
  <c r="R383"/>
  <c r="V383" s="1"/>
  <c r="P383"/>
  <c r="G383"/>
  <c r="U382"/>
  <c r="T382"/>
  <c r="S382"/>
  <c r="R382"/>
  <c r="P382"/>
  <c r="G382"/>
  <c r="U381"/>
  <c r="T381"/>
  <c r="S381"/>
  <c r="R381"/>
  <c r="V381" s="1"/>
  <c r="P381"/>
  <c r="G381"/>
  <c r="U380"/>
  <c r="T380"/>
  <c r="S380"/>
  <c r="R380"/>
  <c r="V380" s="1"/>
  <c r="P380"/>
  <c r="G380"/>
  <c r="U379"/>
  <c r="T379"/>
  <c r="S379"/>
  <c r="R379"/>
  <c r="V379" s="1"/>
  <c r="P379"/>
  <c r="G379"/>
  <c r="U378"/>
  <c r="T378"/>
  <c r="S378"/>
  <c r="R378"/>
  <c r="P378"/>
  <c r="G378"/>
  <c r="U377"/>
  <c r="T377"/>
  <c r="S377"/>
  <c r="R377"/>
  <c r="V377" s="1"/>
  <c r="P377"/>
  <c r="G377"/>
  <c r="U376"/>
  <c r="T376"/>
  <c r="S376"/>
  <c r="R376"/>
  <c r="P376"/>
  <c r="G376"/>
  <c r="U375"/>
  <c r="T375"/>
  <c r="S375"/>
  <c r="R375"/>
  <c r="P375"/>
  <c r="G375"/>
  <c r="U374"/>
  <c r="T374"/>
  <c r="S374"/>
  <c r="R374"/>
  <c r="P374"/>
  <c r="G374"/>
  <c r="U373"/>
  <c r="T373"/>
  <c r="S373"/>
  <c r="R373"/>
  <c r="P373"/>
  <c r="G373"/>
  <c r="U372"/>
  <c r="T372"/>
  <c r="S372"/>
  <c r="R372"/>
  <c r="P372"/>
  <c r="G372"/>
  <c r="U371"/>
  <c r="T371"/>
  <c r="S371"/>
  <c r="R371"/>
  <c r="P371"/>
  <c r="G371"/>
  <c r="U370"/>
  <c r="T370"/>
  <c r="S370"/>
  <c r="R370"/>
  <c r="P370"/>
  <c r="G370"/>
  <c r="O366"/>
  <c r="N366"/>
  <c r="M366"/>
  <c r="L366"/>
  <c r="U366"/>
  <c r="U365"/>
  <c r="T365"/>
  <c r="S365"/>
  <c r="R365"/>
  <c r="V365" s="1"/>
  <c r="P365"/>
  <c r="G365"/>
  <c r="U364"/>
  <c r="T364"/>
  <c r="S364"/>
  <c r="R364"/>
  <c r="P364"/>
  <c r="G364"/>
  <c r="U363"/>
  <c r="T363"/>
  <c r="S363"/>
  <c r="R363"/>
  <c r="V363" s="1"/>
  <c r="P363"/>
  <c r="G363"/>
  <c r="U362"/>
  <c r="T362"/>
  <c r="S362"/>
  <c r="R362"/>
  <c r="P362"/>
  <c r="G362"/>
  <c r="U361"/>
  <c r="T361"/>
  <c r="S361"/>
  <c r="R361"/>
  <c r="V361" s="1"/>
  <c r="P361"/>
  <c r="G361"/>
  <c r="U360"/>
  <c r="T360"/>
  <c r="S360"/>
  <c r="R360"/>
  <c r="P360"/>
  <c r="G360"/>
  <c r="U359"/>
  <c r="T359"/>
  <c r="S359"/>
  <c r="R359"/>
  <c r="V359" s="1"/>
  <c r="P359"/>
  <c r="G359"/>
  <c r="U358"/>
  <c r="T358"/>
  <c r="S358"/>
  <c r="R358"/>
  <c r="P358"/>
  <c r="G358"/>
  <c r="U357"/>
  <c r="T357"/>
  <c r="S357"/>
  <c r="R357"/>
  <c r="V357" s="1"/>
  <c r="P357"/>
  <c r="G357"/>
  <c r="U356"/>
  <c r="T356"/>
  <c r="S356"/>
  <c r="R356"/>
  <c r="P356"/>
  <c r="G356"/>
  <c r="U355"/>
  <c r="T355"/>
  <c r="S355"/>
  <c r="R355"/>
  <c r="V355" s="1"/>
  <c r="P355"/>
  <c r="G355"/>
  <c r="U354"/>
  <c r="T354"/>
  <c r="S354"/>
  <c r="R354"/>
  <c r="P354"/>
  <c r="G354"/>
  <c r="U353"/>
  <c r="T353"/>
  <c r="S353"/>
  <c r="R353"/>
  <c r="P353"/>
  <c r="G353"/>
  <c r="U352"/>
  <c r="T352"/>
  <c r="S352"/>
  <c r="R352"/>
  <c r="P352"/>
  <c r="G352"/>
  <c r="U351"/>
  <c r="T351"/>
  <c r="S351"/>
  <c r="R351"/>
  <c r="P351"/>
  <c r="G351"/>
  <c r="U350"/>
  <c r="T350"/>
  <c r="S350"/>
  <c r="R350"/>
  <c r="P350"/>
  <c r="G350"/>
  <c r="U349"/>
  <c r="T349"/>
  <c r="S349"/>
  <c r="R349"/>
  <c r="P349"/>
  <c r="G349"/>
  <c r="U348"/>
  <c r="T348"/>
  <c r="S348"/>
  <c r="R348"/>
  <c r="P348"/>
  <c r="G348"/>
  <c r="U347"/>
  <c r="T347"/>
  <c r="S347"/>
  <c r="R347"/>
  <c r="P347"/>
  <c r="G347"/>
  <c r="U346"/>
  <c r="T346"/>
  <c r="S346"/>
  <c r="R346"/>
  <c r="P346"/>
  <c r="G346"/>
  <c r="O341"/>
  <c r="N341"/>
  <c r="M341"/>
  <c r="L341"/>
  <c r="K341"/>
  <c r="J341"/>
  <c r="I341"/>
  <c r="H341"/>
  <c r="U340"/>
  <c r="T340"/>
  <c r="S340"/>
  <c r="R340"/>
  <c r="V340" s="1"/>
  <c r="P340"/>
  <c r="G340"/>
  <c r="U339"/>
  <c r="T339"/>
  <c r="S339"/>
  <c r="R339"/>
  <c r="P339"/>
  <c r="G339"/>
  <c r="U338"/>
  <c r="T338"/>
  <c r="S338"/>
  <c r="R338"/>
  <c r="V338" s="1"/>
  <c r="P338"/>
  <c r="G338"/>
  <c r="U337"/>
  <c r="T337"/>
  <c r="S337"/>
  <c r="R337"/>
  <c r="P337"/>
  <c r="G337"/>
  <c r="U336"/>
  <c r="T336"/>
  <c r="S336"/>
  <c r="R336"/>
  <c r="V336" s="1"/>
  <c r="P336"/>
  <c r="G336"/>
  <c r="U335"/>
  <c r="T335"/>
  <c r="S335"/>
  <c r="R335"/>
  <c r="P335"/>
  <c r="G335"/>
  <c r="U334"/>
  <c r="T334"/>
  <c r="S334"/>
  <c r="R334"/>
  <c r="V334" s="1"/>
  <c r="P334"/>
  <c r="G334"/>
  <c r="U333"/>
  <c r="T333"/>
  <c r="S333"/>
  <c r="R333"/>
  <c r="P333"/>
  <c r="G333"/>
  <c r="U332"/>
  <c r="T332"/>
  <c r="S332"/>
  <c r="R332"/>
  <c r="V332" s="1"/>
  <c r="P332"/>
  <c r="G332"/>
  <c r="U331"/>
  <c r="T331"/>
  <c r="S331"/>
  <c r="R331"/>
  <c r="P331"/>
  <c r="G331"/>
  <c r="U330"/>
  <c r="T330"/>
  <c r="S330"/>
  <c r="R330"/>
  <c r="V330" s="1"/>
  <c r="P330"/>
  <c r="G330"/>
  <c r="U329"/>
  <c r="T329"/>
  <c r="S329"/>
  <c r="R329"/>
  <c r="P329"/>
  <c r="G329"/>
  <c r="U328"/>
  <c r="T328"/>
  <c r="S328"/>
  <c r="R328"/>
  <c r="P328"/>
  <c r="G328"/>
  <c r="U327"/>
  <c r="T327"/>
  <c r="S327"/>
  <c r="R327"/>
  <c r="P327"/>
  <c r="G327"/>
  <c r="U326"/>
  <c r="T326"/>
  <c r="S326"/>
  <c r="R326"/>
  <c r="V326" s="1"/>
  <c r="P326"/>
  <c r="G326"/>
  <c r="U325"/>
  <c r="T325"/>
  <c r="S325"/>
  <c r="R325"/>
  <c r="P325"/>
  <c r="G325"/>
  <c r="U324"/>
  <c r="T324"/>
  <c r="S324"/>
  <c r="R324"/>
  <c r="P324"/>
  <c r="G324"/>
  <c r="U323"/>
  <c r="T323"/>
  <c r="S323"/>
  <c r="R323"/>
  <c r="P323"/>
  <c r="G323"/>
  <c r="U322"/>
  <c r="T322"/>
  <c r="S322"/>
  <c r="R322"/>
  <c r="P322"/>
  <c r="G322"/>
  <c r="U321"/>
  <c r="T321"/>
  <c r="S321"/>
  <c r="R321"/>
  <c r="P321"/>
  <c r="G321"/>
  <c r="O317"/>
  <c r="N317"/>
  <c r="M317"/>
  <c r="L317"/>
  <c r="K317"/>
  <c r="J317"/>
  <c r="I317"/>
  <c r="H317"/>
  <c r="P316"/>
  <c r="G316"/>
  <c r="P315"/>
  <c r="G315"/>
  <c r="P314"/>
  <c r="G314"/>
  <c r="P313"/>
  <c r="G313"/>
  <c r="P312"/>
  <c r="G312"/>
  <c r="P311"/>
  <c r="G311"/>
  <c r="P310"/>
  <c r="G310"/>
  <c r="P309"/>
  <c r="G309"/>
  <c r="P308"/>
  <c r="G308"/>
  <c r="P307"/>
  <c r="G307"/>
  <c r="P306"/>
  <c r="G306"/>
  <c r="P305"/>
  <c r="G305"/>
  <c r="P304"/>
  <c r="G304"/>
  <c r="P303"/>
  <c r="G303"/>
  <c r="P302"/>
  <c r="G302"/>
  <c r="P301"/>
  <c r="G301"/>
  <c r="P300"/>
  <c r="G300"/>
  <c r="P299"/>
  <c r="G299"/>
  <c r="P298"/>
  <c r="P317" s="1"/>
  <c r="G298"/>
  <c r="P297"/>
  <c r="G297"/>
  <c r="O292"/>
  <c r="N292"/>
  <c r="M292"/>
  <c r="L292"/>
  <c r="U291"/>
  <c r="T291"/>
  <c r="S291"/>
  <c r="R291"/>
  <c r="V291" s="1"/>
  <c r="P291"/>
  <c r="G291"/>
  <c r="U290"/>
  <c r="T290"/>
  <c r="S290"/>
  <c r="R290"/>
  <c r="P290"/>
  <c r="G290"/>
  <c r="U289"/>
  <c r="T289"/>
  <c r="S289"/>
  <c r="R289"/>
  <c r="V289" s="1"/>
  <c r="P289"/>
  <c r="G289"/>
  <c r="U288"/>
  <c r="T288"/>
  <c r="S288"/>
  <c r="R288"/>
  <c r="P288"/>
  <c r="G288"/>
  <c r="U287"/>
  <c r="T287"/>
  <c r="S287"/>
  <c r="R287"/>
  <c r="V287" s="1"/>
  <c r="P287"/>
  <c r="G287"/>
  <c r="U286"/>
  <c r="T286"/>
  <c r="S286"/>
  <c r="R286"/>
  <c r="P286"/>
  <c r="G286"/>
  <c r="U285"/>
  <c r="T285"/>
  <c r="S285"/>
  <c r="R285"/>
  <c r="V285" s="1"/>
  <c r="P285"/>
  <c r="G285"/>
  <c r="U284"/>
  <c r="T284"/>
  <c r="S284"/>
  <c r="R284"/>
  <c r="P284"/>
  <c r="G284"/>
  <c r="U283"/>
  <c r="T283"/>
  <c r="S283"/>
  <c r="R283"/>
  <c r="V283" s="1"/>
  <c r="P283"/>
  <c r="G283"/>
  <c r="U282"/>
  <c r="T282"/>
  <c r="S282"/>
  <c r="R282"/>
  <c r="P282"/>
  <c r="G282"/>
  <c r="U281"/>
  <c r="T281"/>
  <c r="S281"/>
  <c r="R281"/>
  <c r="V281" s="1"/>
  <c r="P281"/>
  <c r="G281"/>
  <c r="U280"/>
  <c r="T280"/>
  <c r="S280"/>
  <c r="R280"/>
  <c r="P280"/>
  <c r="G280"/>
  <c r="U279"/>
  <c r="T279"/>
  <c r="S279"/>
  <c r="R279"/>
  <c r="P279"/>
  <c r="G279"/>
  <c r="U278"/>
  <c r="T278"/>
  <c r="S278"/>
  <c r="R278"/>
  <c r="P278"/>
  <c r="G278"/>
  <c r="U277"/>
  <c r="T277"/>
  <c r="S277"/>
  <c r="R277"/>
  <c r="P277"/>
  <c r="G277"/>
  <c r="U276"/>
  <c r="T276"/>
  <c r="S276"/>
  <c r="R276"/>
  <c r="P276"/>
  <c r="G276"/>
  <c r="U275"/>
  <c r="T275"/>
  <c r="S275"/>
  <c r="R275"/>
  <c r="P275"/>
  <c r="G275"/>
  <c r="U274"/>
  <c r="T274"/>
  <c r="S274"/>
  <c r="R274"/>
  <c r="P274"/>
  <c r="G274"/>
  <c r="U273"/>
  <c r="S273"/>
  <c r="R273"/>
  <c r="P273"/>
  <c r="I273"/>
  <c r="G273"/>
  <c r="T272"/>
  <c r="S272"/>
  <c r="R272"/>
  <c r="P272"/>
  <c r="I272"/>
  <c r="G272"/>
  <c r="E8" i="6" l="1"/>
  <c r="F36" i="5"/>
  <c r="P466" i="14"/>
  <c r="N485"/>
  <c r="P292"/>
  <c r="X45" i="12"/>
  <c r="F10" i="15"/>
  <c r="F7"/>
  <c r="G7" s="1"/>
  <c r="I7" s="1"/>
  <c r="F8"/>
  <c r="G8" s="1"/>
  <c r="I8" s="1"/>
  <c r="F11"/>
  <c r="G11" s="1"/>
  <c r="I11" s="1"/>
  <c r="F9"/>
  <c r="G9" s="1"/>
  <c r="I9" s="1"/>
  <c r="G10"/>
  <c r="I10" s="1"/>
  <c r="I14"/>
  <c r="H12"/>
  <c r="V280" i="14"/>
  <c r="V329"/>
  <c r="V331"/>
  <c r="V335"/>
  <c r="V348"/>
  <c r="V350"/>
  <c r="V352"/>
  <c r="V356"/>
  <c r="V360"/>
  <c r="V364"/>
  <c r="P341"/>
  <c r="P366"/>
  <c r="P390"/>
  <c r="P413"/>
  <c r="P437"/>
  <c r="M485"/>
  <c r="V426"/>
  <c r="V428"/>
  <c r="V430"/>
  <c r="V432"/>
  <c r="V434"/>
  <c r="V436"/>
  <c r="P461"/>
  <c r="L485"/>
  <c r="V276"/>
  <c r="V284"/>
  <c r="V288"/>
  <c r="V323"/>
  <c r="V325"/>
  <c r="V333"/>
  <c r="V337"/>
  <c r="V339"/>
  <c r="V346"/>
  <c r="V354"/>
  <c r="V358"/>
  <c r="V362"/>
  <c r="V372"/>
  <c r="V374"/>
  <c r="V376"/>
  <c r="V378"/>
  <c r="V382"/>
  <c r="V384"/>
  <c r="V386"/>
  <c r="V388"/>
  <c r="V399"/>
  <c r="V401"/>
  <c r="V403"/>
  <c r="V405"/>
  <c r="V407"/>
  <c r="V409"/>
  <c r="V411"/>
  <c r="V421"/>
  <c r="V423"/>
  <c r="V425"/>
  <c r="V427"/>
  <c r="V429"/>
  <c r="V431"/>
  <c r="V433"/>
  <c r="V435"/>
  <c r="V420"/>
  <c r="V418"/>
  <c r="V396"/>
  <c r="V394"/>
  <c r="V389"/>
  <c r="V370"/>
  <c r="V321"/>
  <c r="V450"/>
  <c r="V451"/>
  <c r="V455"/>
  <c r="V459"/>
  <c r="V454"/>
  <c r="V458"/>
  <c r="V290"/>
  <c r="V328"/>
  <c r="R452"/>
  <c r="V452" s="1"/>
  <c r="R456"/>
  <c r="V456" s="1"/>
  <c r="R460"/>
  <c r="V460" s="1"/>
  <c r="R449"/>
  <c r="V449" s="1"/>
  <c r="R453"/>
  <c r="V453" s="1"/>
  <c r="R457"/>
  <c r="V457" s="1"/>
  <c r="U292"/>
  <c r="V279"/>
  <c r="V324"/>
  <c r="V327"/>
  <c r="V371"/>
  <c r="V373"/>
  <c r="V375"/>
  <c r="V393"/>
  <c r="V395"/>
  <c r="V397"/>
  <c r="V417"/>
  <c r="V419"/>
  <c r="P465"/>
  <c r="P485" s="1"/>
  <c r="V275"/>
  <c r="V277"/>
  <c r="V282"/>
  <c r="T292"/>
  <c r="V286"/>
  <c r="S292"/>
  <c r="V273"/>
  <c r="V466" s="1"/>
  <c r="V272"/>
  <c r="I292"/>
  <c r="J272" s="1"/>
  <c r="K272" s="1"/>
  <c r="R292"/>
  <c r="V353"/>
  <c r="V351"/>
  <c r="V349"/>
  <c r="V347"/>
  <c r="R366"/>
  <c r="V437"/>
  <c r="T390"/>
  <c r="V390" s="1"/>
  <c r="V447"/>
  <c r="V445"/>
  <c r="T366"/>
  <c r="T441"/>
  <c r="S441" s="1"/>
  <c r="R443"/>
  <c r="V443" s="1"/>
  <c r="S366"/>
  <c r="V322"/>
  <c r="T461"/>
  <c r="R441"/>
  <c r="S461"/>
  <c r="V446"/>
  <c r="R444"/>
  <c r="V444" s="1"/>
  <c r="R448"/>
  <c r="V448" s="1"/>
  <c r="V274"/>
  <c r="V278"/>
  <c r="G6" i="15" l="1"/>
  <c r="I6" s="1"/>
  <c r="I12" s="1"/>
  <c r="V292" i="14"/>
  <c r="V366"/>
  <c r="V441"/>
  <c r="U461"/>
  <c r="R461"/>
  <c r="O264"/>
  <c r="N264"/>
  <c r="M264"/>
  <c r="L264"/>
  <c r="F264"/>
  <c r="E264"/>
  <c r="D264"/>
  <c r="O263"/>
  <c r="N263"/>
  <c r="M263"/>
  <c r="F263"/>
  <c r="E263"/>
  <c r="D263"/>
  <c r="O262"/>
  <c r="N262"/>
  <c r="M262"/>
  <c r="F262"/>
  <c r="E262"/>
  <c r="D262"/>
  <c r="O261"/>
  <c r="N261"/>
  <c r="F261"/>
  <c r="E261"/>
  <c r="D261"/>
  <c r="O260"/>
  <c r="N260"/>
  <c r="F260"/>
  <c r="E260"/>
  <c r="D260"/>
  <c r="O259"/>
  <c r="N259"/>
  <c r="F259"/>
  <c r="E259"/>
  <c r="D259"/>
  <c r="O258"/>
  <c r="N258"/>
  <c r="M258"/>
  <c r="F258"/>
  <c r="E258"/>
  <c r="D258"/>
  <c r="O257"/>
  <c r="N257"/>
  <c r="F257"/>
  <c r="E257"/>
  <c r="D257" s="1"/>
  <c r="O256"/>
  <c r="N256"/>
  <c r="E256"/>
  <c r="O250"/>
  <c r="N250"/>
  <c r="M250"/>
  <c r="L250"/>
  <c r="AA249"/>
  <c r="S249"/>
  <c r="R249"/>
  <c r="P249"/>
  <c r="I249"/>
  <c r="G249"/>
  <c r="S248"/>
  <c r="R248"/>
  <c r="P248"/>
  <c r="I248"/>
  <c r="G248"/>
  <c r="S247"/>
  <c r="R247"/>
  <c r="P247"/>
  <c r="I247"/>
  <c r="G247"/>
  <c r="S246"/>
  <c r="R246"/>
  <c r="P246"/>
  <c r="I246"/>
  <c r="G246"/>
  <c r="S245"/>
  <c r="R245"/>
  <c r="P245"/>
  <c r="I245"/>
  <c r="G245"/>
  <c r="S244"/>
  <c r="R244"/>
  <c r="P244"/>
  <c r="I244"/>
  <c r="G244"/>
  <c r="S243"/>
  <c r="R243"/>
  <c r="P243"/>
  <c r="I243"/>
  <c r="G243"/>
  <c r="S242"/>
  <c r="R242"/>
  <c r="P242"/>
  <c r="G242"/>
  <c r="S241"/>
  <c r="R241"/>
  <c r="P241"/>
  <c r="G241"/>
  <c r="O236"/>
  <c r="N236"/>
  <c r="M236"/>
  <c r="L236"/>
  <c r="AA235"/>
  <c r="S235"/>
  <c r="R235"/>
  <c r="P235"/>
  <c r="I235"/>
  <c r="G235"/>
  <c r="S234"/>
  <c r="R234"/>
  <c r="P234"/>
  <c r="I234"/>
  <c r="G234"/>
  <c r="S233"/>
  <c r="R233"/>
  <c r="P233"/>
  <c r="I233"/>
  <c r="G233"/>
  <c r="S232"/>
  <c r="R232"/>
  <c r="P232"/>
  <c r="I232"/>
  <c r="G232"/>
  <c r="S231"/>
  <c r="R231"/>
  <c r="P231"/>
  <c r="I231"/>
  <c r="G231"/>
  <c r="S230"/>
  <c r="R230"/>
  <c r="P230"/>
  <c r="I230"/>
  <c r="G230"/>
  <c r="S229"/>
  <c r="R229"/>
  <c r="P229"/>
  <c r="I229"/>
  <c r="G229"/>
  <c r="S228"/>
  <c r="R228"/>
  <c r="P228"/>
  <c r="I228"/>
  <c r="G228"/>
  <c r="S227"/>
  <c r="R227" s="1"/>
  <c r="P227"/>
  <c r="I227"/>
  <c r="G227"/>
  <c r="G220"/>
  <c r="O219"/>
  <c r="N219"/>
  <c r="M219"/>
  <c r="L219"/>
  <c r="AA218"/>
  <c r="S218"/>
  <c r="R218"/>
  <c r="P218"/>
  <c r="I218"/>
  <c r="G218"/>
  <c r="S217"/>
  <c r="R217"/>
  <c r="P217"/>
  <c r="I217"/>
  <c r="G217"/>
  <c r="S216"/>
  <c r="R216"/>
  <c r="P216"/>
  <c r="I216"/>
  <c r="G216"/>
  <c r="S215"/>
  <c r="R215"/>
  <c r="P215"/>
  <c r="I215"/>
  <c r="G215"/>
  <c r="S214"/>
  <c r="R214"/>
  <c r="P214"/>
  <c r="I214"/>
  <c r="G214"/>
  <c r="S213"/>
  <c r="R213"/>
  <c r="P213"/>
  <c r="I213"/>
  <c r="G213"/>
  <c r="S212"/>
  <c r="R212"/>
  <c r="P212"/>
  <c r="I212"/>
  <c r="G212"/>
  <c r="E265" l="1"/>
  <c r="G256"/>
  <c r="O265"/>
  <c r="G12" i="15"/>
  <c r="N265" i="14"/>
  <c r="P264"/>
  <c r="AA264"/>
  <c r="P219"/>
  <c r="P236"/>
  <c r="T250"/>
  <c r="T236"/>
  <c r="P250"/>
  <c r="G236"/>
  <c r="V218"/>
  <c r="G250"/>
  <c r="R236"/>
  <c r="S250"/>
  <c r="V241"/>
  <c r="I250"/>
  <c r="V461"/>
  <c r="V249"/>
  <c r="R250"/>
  <c r="V235"/>
  <c r="S236"/>
  <c r="X243"/>
  <c r="AC243" s="1"/>
  <c r="X229"/>
  <c r="AC229" s="1"/>
  <c r="X212"/>
  <c r="AC212" s="1"/>
  <c r="S211"/>
  <c r="R211"/>
  <c r="P211"/>
  <c r="I211"/>
  <c r="I219" s="1"/>
  <c r="J215" s="1"/>
  <c r="K215" s="1"/>
  <c r="U215" s="1"/>
  <c r="V215" s="1"/>
  <c r="G211"/>
  <c r="S210"/>
  <c r="R210"/>
  <c r="P210"/>
  <c r="G210"/>
  <c r="O205"/>
  <c r="N205"/>
  <c r="M205"/>
  <c r="L205"/>
  <c r="AA204"/>
  <c r="P204"/>
  <c r="I204"/>
  <c r="G204"/>
  <c r="P203"/>
  <c r="I203"/>
  <c r="G203"/>
  <c r="P202"/>
  <c r="I202"/>
  <c r="G202"/>
  <c r="P201"/>
  <c r="I201"/>
  <c r="G201"/>
  <c r="P200"/>
  <c r="I200"/>
  <c r="G200"/>
  <c r="P199"/>
  <c r="I199"/>
  <c r="G199"/>
  <c r="X198"/>
  <c r="AC198" s="1"/>
  <c r="P198"/>
  <c r="I198"/>
  <c r="G198"/>
  <c r="P197"/>
  <c r="I197"/>
  <c r="G197"/>
  <c r="R196"/>
  <c r="P196"/>
  <c r="I196"/>
  <c r="G196"/>
  <c r="G192"/>
  <c r="O191"/>
  <c r="N191"/>
  <c r="M191"/>
  <c r="L191"/>
  <c r="AA190"/>
  <c r="P190"/>
  <c r="G190"/>
  <c r="P189"/>
  <c r="G189"/>
  <c r="P188"/>
  <c r="G188"/>
  <c r="P187"/>
  <c r="G187"/>
  <c r="P186"/>
  <c r="G186"/>
  <c r="P185"/>
  <c r="G185"/>
  <c r="X184"/>
  <c r="AC184" s="1"/>
  <c r="P184"/>
  <c r="G184"/>
  <c r="P183"/>
  <c r="G183"/>
  <c r="R182"/>
  <c r="P182"/>
  <c r="G182"/>
  <c r="O174"/>
  <c r="N174"/>
  <c r="M174"/>
  <c r="L174"/>
  <c r="G174"/>
  <c r="AA173"/>
  <c r="P173"/>
  <c r="G173"/>
  <c r="P172"/>
  <c r="G172"/>
  <c r="P171"/>
  <c r="G171"/>
  <c r="P170"/>
  <c r="G170"/>
  <c r="P169"/>
  <c r="G169"/>
  <c r="P168"/>
  <c r="G168"/>
  <c r="X167"/>
  <c r="AC167" s="1"/>
  <c r="P167"/>
  <c r="G167"/>
  <c r="P166"/>
  <c r="G166"/>
  <c r="R165"/>
  <c r="P165"/>
  <c r="G165"/>
  <c r="G162" s="1"/>
  <c r="O160"/>
  <c r="N160"/>
  <c r="M160"/>
  <c r="L160"/>
  <c r="P159"/>
  <c r="I159"/>
  <c r="G159"/>
  <c r="P158"/>
  <c r="I158"/>
  <c r="G158"/>
  <c r="P157"/>
  <c r="I157"/>
  <c r="G157"/>
  <c r="P156"/>
  <c r="I156"/>
  <c r="G156"/>
  <c r="P155"/>
  <c r="I155"/>
  <c r="G155"/>
  <c r="P154"/>
  <c r="I154"/>
  <c r="G154"/>
  <c r="X153"/>
  <c r="AC153" s="1"/>
  <c r="P153"/>
  <c r="I153"/>
  <c r="G153"/>
  <c r="P152"/>
  <c r="G152"/>
  <c r="T160"/>
  <c r="P151"/>
  <c r="G151"/>
  <c r="G147" s="1"/>
  <c r="G148" s="1"/>
  <c r="O146"/>
  <c r="N146"/>
  <c r="M146"/>
  <c r="L146"/>
  <c r="P145"/>
  <c r="G145"/>
  <c r="P144"/>
  <c r="G144"/>
  <c r="P143"/>
  <c r="G143"/>
  <c r="P142"/>
  <c r="G142"/>
  <c r="P141"/>
  <c r="G141"/>
  <c r="P140"/>
  <c r="G140"/>
  <c r="X139"/>
  <c r="AC139" s="1"/>
  <c r="P139"/>
  <c r="G139"/>
  <c r="P138"/>
  <c r="R137"/>
  <c r="P137"/>
  <c r="G137"/>
  <c r="G129"/>
  <c r="O128"/>
  <c r="N128"/>
  <c r="M128"/>
  <c r="L128"/>
  <c r="AA127"/>
  <c r="R127"/>
  <c r="P127"/>
  <c r="I127"/>
  <c r="G127"/>
  <c r="R126"/>
  <c r="P126"/>
  <c r="I126"/>
  <c r="G126"/>
  <c r="R125"/>
  <c r="P125"/>
  <c r="I125"/>
  <c r="G125"/>
  <c r="R124"/>
  <c r="P124"/>
  <c r="I124"/>
  <c r="G124"/>
  <c r="R123"/>
  <c r="P123"/>
  <c r="I123"/>
  <c r="G123"/>
  <c r="R122"/>
  <c r="P122"/>
  <c r="I122"/>
  <c r="G122"/>
  <c r="X121"/>
  <c r="AC121" s="1"/>
  <c r="R121"/>
  <c r="P121"/>
  <c r="I121"/>
  <c r="G121"/>
  <c r="R120"/>
  <c r="P120"/>
  <c r="G120"/>
  <c r="P119"/>
  <c r="G119"/>
  <c r="G116" s="1"/>
  <c r="O115"/>
  <c r="N115"/>
  <c r="M115"/>
  <c r="L115"/>
  <c r="AA114"/>
  <c r="R114"/>
  <c r="P114"/>
  <c r="G114"/>
  <c r="R113"/>
  <c r="P113"/>
  <c r="G113"/>
  <c r="R112"/>
  <c r="P112"/>
  <c r="G112"/>
  <c r="R111"/>
  <c r="P111"/>
  <c r="G111"/>
  <c r="R110"/>
  <c r="P110"/>
  <c r="G110"/>
  <c r="R109"/>
  <c r="P109"/>
  <c r="G109"/>
  <c r="X108"/>
  <c r="AC108" s="1"/>
  <c r="R108"/>
  <c r="P108"/>
  <c r="G108"/>
  <c r="R107"/>
  <c r="P107"/>
  <c r="G107"/>
  <c r="P106"/>
  <c r="G106"/>
  <c r="AA100"/>
  <c r="L81"/>
  <c r="R81" s="1"/>
  <c r="M79"/>
  <c r="L79"/>
  <c r="R79" s="1"/>
  <c r="M65"/>
  <c r="L51"/>
  <c r="M77"/>
  <c r="L77"/>
  <c r="R77" s="1"/>
  <c r="L76"/>
  <c r="R76" s="1"/>
  <c r="S48"/>
  <c r="M74"/>
  <c r="G84"/>
  <c r="O83"/>
  <c r="N83"/>
  <c r="AA82"/>
  <c r="S82"/>
  <c r="P82"/>
  <c r="I82"/>
  <c r="G82"/>
  <c r="S81"/>
  <c r="I81"/>
  <c r="G81"/>
  <c r="S80"/>
  <c r="I80"/>
  <c r="G80"/>
  <c r="I79"/>
  <c r="G79"/>
  <c r="T83"/>
  <c r="M78"/>
  <c r="I78"/>
  <c r="G78"/>
  <c r="I77"/>
  <c r="G77"/>
  <c r="S76"/>
  <c r="X76" s="1"/>
  <c r="AC76" s="1"/>
  <c r="I76"/>
  <c r="G76"/>
  <c r="I75"/>
  <c r="G75"/>
  <c r="G74"/>
  <c r="G71" s="1"/>
  <c r="O70"/>
  <c r="N70"/>
  <c r="AA69"/>
  <c r="S69"/>
  <c r="R69"/>
  <c r="P69"/>
  <c r="I69"/>
  <c r="G69"/>
  <c r="S68"/>
  <c r="I68"/>
  <c r="G68"/>
  <c r="S67"/>
  <c r="I67"/>
  <c r="G67"/>
  <c r="L66"/>
  <c r="I66"/>
  <c r="G66"/>
  <c r="I65"/>
  <c r="G65"/>
  <c r="I64"/>
  <c r="G64"/>
  <c r="S63"/>
  <c r="X63" s="1"/>
  <c r="AC63" s="1"/>
  <c r="L63"/>
  <c r="I63"/>
  <c r="G63"/>
  <c r="S62"/>
  <c r="R62"/>
  <c r="I62"/>
  <c r="G62"/>
  <c r="G61"/>
  <c r="O56"/>
  <c r="N56"/>
  <c r="AA55"/>
  <c r="S55"/>
  <c r="R55"/>
  <c r="P55"/>
  <c r="I55"/>
  <c r="G55"/>
  <c r="S54"/>
  <c r="L54"/>
  <c r="I54"/>
  <c r="G54"/>
  <c r="S53"/>
  <c r="I53"/>
  <c r="G53"/>
  <c r="L52"/>
  <c r="I52"/>
  <c r="G52"/>
  <c r="I51"/>
  <c r="G51"/>
  <c r="L50"/>
  <c r="I50"/>
  <c r="G50"/>
  <c r="S49"/>
  <c r="X49" s="1"/>
  <c r="AC49" s="1"/>
  <c r="I49"/>
  <c r="G49"/>
  <c r="I48"/>
  <c r="G48"/>
  <c r="G47"/>
  <c r="O42"/>
  <c r="N42"/>
  <c r="AA41"/>
  <c r="S41"/>
  <c r="R41"/>
  <c r="P41"/>
  <c r="I41"/>
  <c r="G41"/>
  <c r="S40"/>
  <c r="I40"/>
  <c r="G40"/>
  <c r="S39"/>
  <c r="I39"/>
  <c r="G39"/>
  <c r="M38"/>
  <c r="L38"/>
  <c r="I38"/>
  <c r="G38"/>
  <c r="M37"/>
  <c r="I37"/>
  <c r="G37"/>
  <c r="L36"/>
  <c r="I36"/>
  <c r="G36"/>
  <c r="S35"/>
  <c r="X35" s="1"/>
  <c r="AC35" s="1"/>
  <c r="I35"/>
  <c r="G35"/>
  <c r="M34"/>
  <c r="S34" s="1"/>
  <c r="I34"/>
  <c r="G34"/>
  <c r="I33"/>
  <c r="G33"/>
  <c r="G30"/>
  <c r="O29"/>
  <c r="N29"/>
  <c r="AA28"/>
  <c r="S28"/>
  <c r="R28"/>
  <c r="P28"/>
  <c r="I28"/>
  <c r="S27"/>
  <c r="I27"/>
  <c r="G27"/>
  <c r="S26"/>
  <c r="I26"/>
  <c r="G26"/>
  <c r="M25"/>
  <c r="L25"/>
  <c r="I25"/>
  <c r="G25"/>
  <c r="M24"/>
  <c r="L24"/>
  <c r="I24"/>
  <c r="G24"/>
  <c r="L23"/>
  <c r="I23"/>
  <c r="G23"/>
  <c r="S22"/>
  <c r="X22" s="1"/>
  <c r="AC22" s="1"/>
  <c r="I22"/>
  <c r="G22"/>
  <c r="M21"/>
  <c r="L21"/>
  <c r="I21"/>
  <c r="G21"/>
  <c r="I20"/>
  <c r="G16"/>
  <c r="O15"/>
  <c r="N15"/>
  <c r="F15"/>
  <c r="H7" s="1"/>
  <c r="E15"/>
  <c r="D15"/>
  <c r="C15"/>
  <c r="AA14"/>
  <c r="P14"/>
  <c r="I14"/>
  <c r="G14"/>
  <c r="G265" l="1"/>
  <c r="S21"/>
  <c r="L257"/>
  <c r="G42"/>
  <c r="K9"/>
  <c r="U9" s="1"/>
  <c r="K10"/>
  <c r="U10" s="1"/>
  <c r="K11"/>
  <c r="U11" s="1"/>
  <c r="K13"/>
  <c r="U13" s="1"/>
  <c r="K8"/>
  <c r="U8" s="1"/>
  <c r="J248"/>
  <c r="J244"/>
  <c r="K244" s="1"/>
  <c r="U244" s="1"/>
  <c r="J249"/>
  <c r="J245"/>
  <c r="K245" s="1"/>
  <c r="U245" s="1"/>
  <c r="J250"/>
  <c r="J246"/>
  <c r="K246" s="1"/>
  <c r="U246" s="1"/>
  <c r="J247"/>
  <c r="J243"/>
  <c r="K243" s="1"/>
  <c r="U243" s="1"/>
  <c r="J242"/>
  <c r="K242" s="1"/>
  <c r="U242" s="1"/>
  <c r="O101"/>
  <c r="AF264"/>
  <c r="P146"/>
  <c r="P128"/>
  <c r="U83"/>
  <c r="V197"/>
  <c r="L37"/>
  <c r="P37" s="1"/>
  <c r="T70"/>
  <c r="L78"/>
  <c r="P115"/>
  <c r="T128"/>
  <c r="U146"/>
  <c r="S174"/>
  <c r="S191"/>
  <c r="P191"/>
  <c r="T146"/>
  <c r="T174"/>
  <c r="T56"/>
  <c r="N101"/>
  <c r="V145"/>
  <c r="P160"/>
  <c r="P174"/>
  <c r="P205"/>
  <c r="S33"/>
  <c r="M47"/>
  <c r="U205"/>
  <c r="V198"/>
  <c r="V196"/>
  <c r="I205"/>
  <c r="J199" s="1"/>
  <c r="V106"/>
  <c r="T115"/>
  <c r="V123"/>
  <c r="V127"/>
  <c r="R205"/>
  <c r="T205"/>
  <c r="S219"/>
  <c r="Y205"/>
  <c r="T42"/>
  <c r="V167"/>
  <c r="V169"/>
  <c r="V203"/>
  <c r="L64"/>
  <c r="R64" s="1"/>
  <c r="I128"/>
  <c r="V122"/>
  <c r="V138"/>
  <c r="V140"/>
  <c r="V142"/>
  <c r="S160"/>
  <c r="I160"/>
  <c r="K154" s="1"/>
  <c r="U154" s="1"/>
  <c r="V154" s="1"/>
  <c r="R191"/>
  <c r="V184"/>
  <c r="V188"/>
  <c r="V200"/>
  <c r="M66"/>
  <c r="M52"/>
  <c r="S52" s="1"/>
  <c r="M23"/>
  <c r="P23" s="1"/>
  <c r="M64"/>
  <c r="S64" s="1"/>
  <c r="M36"/>
  <c r="S36" s="1"/>
  <c r="M50"/>
  <c r="P50" s="1"/>
  <c r="I83"/>
  <c r="J79" s="1"/>
  <c r="K79" s="1"/>
  <c r="I70"/>
  <c r="V55"/>
  <c r="I56"/>
  <c r="J53" s="1"/>
  <c r="G56"/>
  <c r="L47"/>
  <c r="L61"/>
  <c r="R33"/>
  <c r="L27"/>
  <c r="P27" s="1"/>
  <c r="L40"/>
  <c r="P40" s="1"/>
  <c r="I42"/>
  <c r="J37" s="1"/>
  <c r="K37" s="1"/>
  <c r="U37" s="1"/>
  <c r="L22"/>
  <c r="R22" s="1"/>
  <c r="L35"/>
  <c r="R35" s="1"/>
  <c r="L49"/>
  <c r="P49" s="1"/>
  <c r="K247"/>
  <c r="U247" s="1"/>
  <c r="V247" s="1"/>
  <c r="V189"/>
  <c r="V183"/>
  <c r="U191"/>
  <c r="V173"/>
  <c r="V166"/>
  <c r="V171"/>
  <c r="U174"/>
  <c r="V172"/>
  <c r="R174"/>
  <c r="V143"/>
  <c r="V141"/>
  <c r="V139"/>
  <c r="S146"/>
  <c r="R146"/>
  <c r="V112"/>
  <c r="R219"/>
  <c r="V210"/>
  <c r="J214"/>
  <c r="K214" s="1"/>
  <c r="J211"/>
  <c r="K211" s="1"/>
  <c r="U211" s="1"/>
  <c r="G206"/>
  <c r="G219"/>
  <c r="J212"/>
  <c r="K212" s="1"/>
  <c r="J213"/>
  <c r="K213" s="1"/>
  <c r="J217"/>
  <c r="K217" s="1"/>
  <c r="V199"/>
  <c r="V204"/>
  <c r="G205"/>
  <c r="V201"/>
  <c r="V202"/>
  <c r="J203"/>
  <c r="K203" s="1"/>
  <c r="S205"/>
  <c r="V185"/>
  <c r="V187"/>
  <c r="V186"/>
  <c r="V182"/>
  <c r="V190"/>
  <c r="G191"/>
  <c r="V168"/>
  <c r="V170"/>
  <c r="V165"/>
  <c r="V151"/>
  <c r="V152"/>
  <c r="V159"/>
  <c r="R160"/>
  <c r="G160"/>
  <c r="V144"/>
  <c r="G146"/>
  <c r="V137"/>
  <c r="V120"/>
  <c r="V121"/>
  <c r="V126"/>
  <c r="V119"/>
  <c r="V124"/>
  <c r="V125"/>
  <c r="G128"/>
  <c r="R128"/>
  <c r="S128"/>
  <c r="V109"/>
  <c r="V111"/>
  <c r="V113"/>
  <c r="S115"/>
  <c r="V110"/>
  <c r="V108"/>
  <c r="V114"/>
  <c r="V82"/>
  <c r="J76"/>
  <c r="K76" s="1"/>
  <c r="J75"/>
  <c r="G83"/>
  <c r="G70"/>
  <c r="J68"/>
  <c r="J67"/>
  <c r="J66"/>
  <c r="K66" s="1"/>
  <c r="J62"/>
  <c r="J64"/>
  <c r="K64" s="1"/>
  <c r="J63"/>
  <c r="K63" s="1"/>
  <c r="V69"/>
  <c r="P38"/>
  <c r="V28"/>
  <c r="R50"/>
  <c r="R36"/>
  <c r="R38"/>
  <c r="R52"/>
  <c r="E101"/>
  <c r="T102" s="1"/>
  <c r="S24"/>
  <c r="T29"/>
  <c r="L34"/>
  <c r="M51"/>
  <c r="R53"/>
  <c r="R26"/>
  <c r="P48"/>
  <c r="S77"/>
  <c r="P26"/>
  <c r="P39"/>
  <c r="P81"/>
  <c r="P80"/>
  <c r="S74"/>
  <c r="P24"/>
  <c r="P21"/>
  <c r="R23"/>
  <c r="P25"/>
  <c r="S38"/>
  <c r="R39"/>
  <c r="P54"/>
  <c r="M61"/>
  <c r="P62"/>
  <c r="P63"/>
  <c r="L65"/>
  <c r="S65"/>
  <c r="P66"/>
  <c r="L74"/>
  <c r="S75"/>
  <c r="P76"/>
  <c r="D101"/>
  <c r="S102" s="1"/>
  <c r="S79"/>
  <c r="Y236"/>
  <c r="R24"/>
  <c r="S37"/>
  <c r="S66"/>
  <c r="F101"/>
  <c r="U102" s="1"/>
  <c r="V102" s="1"/>
  <c r="S25"/>
  <c r="R21"/>
  <c r="R25"/>
  <c r="R51"/>
  <c r="R54"/>
  <c r="R63"/>
  <c r="R66"/>
  <c r="P77"/>
  <c r="S78"/>
  <c r="P79"/>
  <c r="R115"/>
  <c r="G115"/>
  <c r="L13"/>
  <c r="R13" s="1"/>
  <c r="G13"/>
  <c r="P12"/>
  <c r="I12"/>
  <c r="G12"/>
  <c r="I11"/>
  <c r="G11"/>
  <c r="M10"/>
  <c r="S10" s="1"/>
  <c r="G10"/>
  <c r="M9"/>
  <c r="S9" s="1"/>
  <c r="L9"/>
  <c r="G9"/>
  <c r="P8"/>
  <c r="G8"/>
  <c r="G7"/>
  <c r="L45" i="21"/>
  <c r="J45"/>
  <c r="J44"/>
  <c r="E44"/>
  <c r="D44"/>
  <c r="L43"/>
  <c r="J43"/>
  <c r="J42"/>
  <c r="D42"/>
  <c r="L41"/>
  <c r="J41"/>
  <c r="L40"/>
  <c r="J40"/>
  <c r="K40" s="1"/>
  <c r="J39"/>
  <c r="E39"/>
  <c r="D39" s="1"/>
  <c r="L37"/>
  <c r="J37"/>
  <c r="E36"/>
  <c r="L36" s="1"/>
  <c r="D36"/>
  <c r="L33"/>
  <c r="K33" s="1"/>
  <c r="D32"/>
  <c r="L31"/>
  <c r="K31" s="1"/>
  <c r="E30"/>
  <c r="D30"/>
  <c r="L29"/>
  <c r="J29"/>
  <c r="L28"/>
  <c r="J28"/>
  <c r="K28" s="1"/>
  <c r="L27"/>
  <c r="J27"/>
  <c r="L26"/>
  <c r="J26"/>
  <c r="K26" s="1"/>
  <c r="E25"/>
  <c r="D25"/>
  <c r="L24"/>
  <c r="J24"/>
  <c r="K24" s="1"/>
  <c r="D23"/>
  <c r="L22"/>
  <c r="J22"/>
  <c r="K22" s="1"/>
  <c r="L21"/>
  <c r="J21"/>
  <c r="D20"/>
  <c r="L19"/>
  <c r="K19" s="1"/>
  <c r="L18"/>
  <c r="K18"/>
  <c r="E17"/>
  <c r="D17" s="1"/>
  <c r="L15"/>
  <c r="J15"/>
  <c r="D14"/>
  <c r="L13"/>
  <c r="J13"/>
  <c r="L12"/>
  <c r="J12"/>
  <c r="K12" s="1"/>
  <c r="L11"/>
  <c r="J11"/>
  <c r="D10"/>
  <c r="L7"/>
  <c r="J7"/>
  <c r="E6"/>
  <c r="L45" i="20"/>
  <c r="J45"/>
  <c r="I44"/>
  <c r="H44"/>
  <c r="G44"/>
  <c r="F44"/>
  <c r="E44"/>
  <c r="D44"/>
  <c r="L43"/>
  <c r="J43"/>
  <c r="K43" s="1"/>
  <c r="I42"/>
  <c r="H42"/>
  <c r="G42"/>
  <c r="F42"/>
  <c r="E42"/>
  <c r="D42"/>
  <c r="L41"/>
  <c r="J41"/>
  <c r="L40"/>
  <c r="J40"/>
  <c r="K40" s="1"/>
  <c r="I39"/>
  <c r="H39"/>
  <c r="G39"/>
  <c r="F39"/>
  <c r="E39"/>
  <c r="D39" s="1"/>
  <c r="L37"/>
  <c r="J37"/>
  <c r="J36" s="1"/>
  <c r="J35" s="1"/>
  <c r="I36"/>
  <c r="H36"/>
  <c r="G36"/>
  <c r="F35"/>
  <c r="E36"/>
  <c r="D36"/>
  <c r="K41" l="1"/>
  <c r="K37"/>
  <c r="L36"/>
  <c r="K36"/>
  <c r="L39"/>
  <c r="J6" i="21"/>
  <c r="J5" s="1"/>
  <c r="J4" s="1"/>
  <c r="K7"/>
  <c r="E16"/>
  <c r="E35"/>
  <c r="J10"/>
  <c r="K10" s="1"/>
  <c r="J36"/>
  <c r="K36" s="1"/>
  <c r="L30"/>
  <c r="L6"/>
  <c r="K41"/>
  <c r="K43"/>
  <c r="K45"/>
  <c r="K13"/>
  <c r="J32"/>
  <c r="J23"/>
  <c r="K21"/>
  <c r="K6"/>
  <c r="K29"/>
  <c r="J30"/>
  <c r="K30" s="1"/>
  <c r="L14"/>
  <c r="K11"/>
  <c r="L44"/>
  <c r="K44" s="1"/>
  <c r="K42"/>
  <c r="L42"/>
  <c r="D38"/>
  <c r="L39"/>
  <c r="K39"/>
  <c r="E38"/>
  <c r="D35"/>
  <c r="K37"/>
  <c r="L32"/>
  <c r="L25"/>
  <c r="K27"/>
  <c r="L23"/>
  <c r="L20"/>
  <c r="J20"/>
  <c r="K20" s="1"/>
  <c r="D16"/>
  <c r="L17"/>
  <c r="E9"/>
  <c r="D9"/>
  <c r="L10"/>
  <c r="K15"/>
  <c r="J14"/>
  <c r="K14" s="1"/>
  <c r="E5"/>
  <c r="E4" s="1"/>
  <c r="L44" i="20"/>
  <c r="E35"/>
  <c r="D35"/>
  <c r="G38"/>
  <c r="K45"/>
  <c r="K44"/>
  <c r="J44"/>
  <c r="D38"/>
  <c r="L42"/>
  <c r="J42"/>
  <c r="E38"/>
  <c r="J39"/>
  <c r="I35"/>
  <c r="H35" s="1"/>
  <c r="G35" s="1"/>
  <c r="K35"/>
  <c r="U212" i="14"/>
  <c r="V212" s="1"/>
  <c r="V214"/>
  <c r="U214"/>
  <c r="U213"/>
  <c r="V213" s="1"/>
  <c r="V217"/>
  <c r="U217"/>
  <c r="S96"/>
  <c r="S93"/>
  <c r="V24"/>
  <c r="R37"/>
  <c r="V37" s="1"/>
  <c r="R40"/>
  <c r="V21"/>
  <c r="V23"/>
  <c r="R49"/>
  <c r="R9"/>
  <c r="L15"/>
  <c r="V25"/>
  <c r="R97"/>
  <c r="V52"/>
  <c r="V50"/>
  <c r="V22"/>
  <c r="R94"/>
  <c r="P78"/>
  <c r="R78"/>
  <c r="S47"/>
  <c r="U7"/>
  <c r="V8"/>
  <c r="U96"/>
  <c r="V10"/>
  <c r="U259"/>
  <c r="Z244" s="1"/>
  <c r="AE244" s="1"/>
  <c r="V243"/>
  <c r="V245"/>
  <c r="V242"/>
  <c r="V244"/>
  <c r="V246"/>
  <c r="V211"/>
  <c r="P33"/>
  <c r="R27"/>
  <c r="S23"/>
  <c r="S50"/>
  <c r="P52"/>
  <c r="J35"/>
  <c r="K35" s="1"/>
  <c r="U35" s="1"/>
  <c r="V35" s="1"/>
  <c r="J201"/>
  <c r="K201" s="1"/>
  <c r="J124"/>
  <c r="K124" s="1"/>
  <c r="J120"/>
  <c r="P47"/>
  <c r="J48"/>
  <c r="P61"/>
  <c r="R47"/>
  <c r="J196"/>
  <c r="J200"/>
  <c r="J198"/>
  <c r="K153"/>
  <c r="U153" s="1"/>
  <c r="K156"/>
  <c r="U156" s="1"/>
  <c r="K155"/>
  <c r="U155" s="1"/>
  <c r="K157"/>
  <c r="U157" s="1"/>
  <c r="K158"/>
  <c r="U158" s="1"/>
  <c r="J122"/>
  <c r="K122" s="1"/>
  <c r="J126"/>
  <c r="K126" s="1"/>
  <c r="J125"/>
  <c r="K125" s="1"/>
  <c r="J123"/>
  <c r="K123" s="1"/>
  <c r="J121"/>
  <c r="K121" s="1"/>
  <c r="M56"/>
  <c r="M42"/>
  <c r="P36"/>
  <c r="P64"/>
  <c r="J77"/>
  <c r="K77" s="1"/>
  <c r="J78"/>
  <c r="K78" s="1"/>
  <c r="J81"/>
  <c r="K81" s="1"/>
  <c r="K75"/>
  <c r="P22"/>
  <c r="J51"/>
  <c r="K51" s="1"/>
  <c r="J50"/>
  <c r="K50" s="1"/>
  <c r="J52"/>
  <c r="K52" s="1"/>
  <c r="J49"/>
  <c r="K49" s="1"/>
  <c r="L29"/>
  <c r="J38"/>
  <c r="K38" s="1"/>
  <c r="U38" s="1"/>
  <c r="V38" s="1"/>
  <c r="J40"/>
  <c r="K40" s="1"/>
  <c r="U40" s="1"/>
  <c r="V40" s="1"/>
  <c r="J39"/>
  <c r="K39" s="1"/>
  <c r="U39" s="1"/>
  <c r="J36"/>
  <c r="K36" s="1"/>
  <c r="U36" s="1"/>
  <c r="V36" s="1"/>
  <c r="J34"/>
  <c r="K34" s="1"/>
  <c r="U34" s="1"/>
  <c r="P35"/>
  <c r="I15"/>
  <c r="V174"/>
  <c r="V115"/>
  <c r="K62"/>
  <c r="S51"/>
  <c r="K48"/>
  <c r="P7"/>
  <c r="R48"/>
  <c r="P51"/>
  <c r="P13"/>
  <c r="P75"/>
  <c r="L56"/>
  <c r="R34"/>
  <c r="S42"/>
  <c r="L42"/>
  <c r="P34"/>
  <c r="M83"/>
  <c r="K53"/>
  <c r="P53"/>
  <c r="M260"/>
  <c r="X37" s="1"/>
  <c r="AC37" s="1"/>
  <c r="L258"/>
  <c r="M259"/>
  <c r="L260"/>
  <c r="S61"/>
  <c r="M70"/>
  <c r="G15"/>
  <c r="X8"/>
  <c r="M257"/>
  <c r="X75" s="1"/>
  <c r="AC75" s="1"/>
  <c r="L261"/>
  <c r="K67"/>
  <c r="R67"/>
  <c r="P10"/>
  <c r="L259"/>
  <c r="V100"/>
  <c r="L83"/>
  <c r="P74"/>
  <c r="P65"/>
  <c r="R65"/>
  <c r="R74"/>
  <c r="S83"/>
  <c r="P6"/>
  <c r="P9"/>
  <c r="L33" i="20"/>
  <c r="J33"/>
  <c r="I32"/>
  <c r="H32"/>
  <c r="G32"/>
  <c r="E32"/>
  <c r="D32"/>
  <c r="L31"/>
  <c r="J31"/>
  <c r="J30" s="1"/>
  <c r="I30"/>
  <c r="H30"/>
  <c r="G30"/>
  <c r="E30"/>
  <c r="D30"/>
  <c r="L29"/>
  <c r="L28"/>
  <c r="J28"/>
  <c r="K28" s="1"/>
  <c r="L27"/>
  <c r="J27"/>
  <c r="L26"/>
  <c r="K26"/>
  <c r="I25"/>
  <c r="H25"/>
  <c r="G25"/>
  <c r="E25"/>
  <c r="D25"/>
  <c r="L24"/>
  <c r="J24"/>
  <c r="J23" s="1"/>
  <c r="I23"/>
  <c r="H23"/>
  <c r="G23"/>
  <c r="E23"/>
  <c r="D23"/>
  <c r="L22"/>
  <c r="J22"/>
  <c r="K22" s="1"/>
  <c r="L21"/>
  <c r="J21"/>
  <c r="K21" s="1"/>
  <c r="I20"/>
  <c r="H20"/>
  <c r="G20"/>
  <c r="E20"/>
  <c r="D20" s="1"/>
  <c r="L19" s="1"/>
  <c r="J19"/>
  <c r="K19" s="1"/>
  <c r="L18"/>
  <c r="J18"/>
  <c r="K18" s="1"/>
  <c r="I17"/>
  <c r="H17"/>
  <c r="G17"/>
  <c r="E17"/>
  <c r="D17" s="1"/>
  <c r="L15"/>
  <c r="J15"/>
  <c r="J14" s="1"/>
  <c r="I14"/>
  <c r="H14"/>
  <c r="G14"/>
  <c r="E14"/>
  <c r="D14"/>
  <c r="L13"/>
  <c r="J13"/>
  <c r="L12"/>
  <c r="J12"/>
  <c r="L11"/>
  <c r="J11"/>
  <c r="I10"/>
  <c r="H10"/>
  <c r="G10"/>
  <c r="G9" s="1"/>
  <c r="E10"/>
  <c r="D10"/>
  <c r="D9" s="1"/>
  <c r="L7"/>
  <c r="J7"/>
  <c r="K7" s="1"/>
  <c r="I6"/>
  <c r="H6"/>
  <c r="G6"/>
  <c r="E6"/>
  <c r="E5" s="1"/>
  <c r="D6"/>
  <c r="Y43" i="12"/>
  <c r="Y42"/>
  <c r="Z42" s="1"/>
  <c r="Y41"/>
  <c r="Y40"/>
  <c r="Y39"/>
  <c r="Y38"/>
  <c r="Z38" s="1"/>
  <c r="Y37"/>
  <c r="Z37" s="1"/>
  <c r="Y36"/>
  <c r="Z36" s="1"/>
  <c r="Y35"/>
  <c r="Y22"/>
  <c r="Y21"/>
  <c r="Y19"/>
  <c r="Y18"/>
  <c r="Y17"/>
  <c r="Y16"/>
  <c r="Y15"/>
  <c r="Y14"/>
  <c r="Y13"/>
  <c r="Y12"/>
  <c r="Y11"/>
  <c r="Y10"/>
  <c r="Y9"/>
  <c r="Z9" s="1"/>
  <c r="Y8"/>
  <c r="Y7"/>
  <c r="E34" i="20" l="1"/>
  <c r="D34"/>
  <c r="L35"/>
  <c r="K27"/>
  <c r="H9"/>
  <c r="K24"/>
  <c r="K31"/>
  <c r="L32"/>
  <c r="K11"/>
  <c r="J10"/>
  <c r="J9" s="1"/>
  <c r="I16"/>
  <c r="H16"/>
  <c r="G16"/>
  <c r="G8" s="1"/>
  <c r="E34" i="21"/>
  <c r="E8"/>
  <c r="K23"/>
  <c r="D8"/>
  <c r="AC8" i="14"/>
  <c r="X258"/>
  <c r="K32" i="21"/>
  <c r="D34"/>
  <c r="L16"/>
  <c r="L5"/>
  <c r="K5" s="1"/>
  <c r="K23" i="20"/>
  <c r="L20"/>
  <c r="E16"/>
  <c r="L17"/>
  <c r="D16"/>
  <c r="D8" s="1"/>
  <c r="K33"/>
  <c r="J32"/>
  <c r="K32" s="1"/>
  <c r="K42"/>
  <c r="K39"/>
  <c r="J38"/>
  <c r="L30"/>
  <c r="K30" s="1"/>
  <c r="K29"/>
  <c r="L25"/>
  <c r="J25"/>
  <c r="K25" s="1"/>
  <c r="L23"/>
  <c r="J20"/>
  <c r="K20" s="1"/>
  <c r="K15"/>
  <c r="L14"/>
  <c r="K14" s="1"/>
  <c r="L10"/>
  <c r="K12"/>
  <c r="K13"/>
  <c r="L6"/>
  <c r="D5"/>
  <c r="S56" i="14"/>
  <c r="V51"/>
  <c r="S95"/>
  <c r="V48"/>
  <c r="R95"/>
  <c r="R15"/>
  <c r="R42"/>
  <c r="V27"/>
  <c r="V49"/>
  <c r="V9"/>
  <c r="R93"/>
  <c r="R96"/>
  <c r="V47"/>
  <c r="U97"/>
  <c r="U94"/>
  <c r="U99"/>
  <c r="S92"/>
  <c r="AE39"/>
  <c r="V39"/>
  <c r="U95"/>
  <c r="U93"/>
  <c r="U257"/>
  <c r="Z7" s="1"/>
  <c r="X94"/>
  <c r="Z154"/>
  <c r="AE154" s="1"/>
  <c r="V157"/>
  <c r="Z199"/>
  <c r="AE199" s="1"/>
  <c r="Z213"/>
  <c r="AE213" s="1"/>
  <c r="Z64"/>
  <c r="AE64" s="1"/>
  <c r="Z77"/>
  <c r="AE77" s="1"/>
  <c r="Z23"/>
  <c r="AE23" s="1"/>
  <c r="Z140"/>
  <c r="AE140" s="1"/>
  <c r="Z109"/>
  <c r="AE109" s="1"/>
  <c r="Z36"/>
  <c r="AE36" s="1"/>
  <c r="Z9"/>
  <c r="Z230"/>
  <c r="AE230" s="1"/>
  <c r="Z122"/>
  <c r="AE122" s="1"/>
  <c r="Z50"/>
  <c r="AE50" s="1"/>
  <c r="Z185"/>
  <c r="AE185" s="1"/>
  <c r="Z168"/>
  <c r="AE168" s="1"/>
  <c r="U263"/>
  <c r="Z158" s="1"/>
  <c r="AE158" s="1"/>
  <c r="V158"/>
  <c r="U258"/>
  <c r="Z153" s="1"/>
  <c r="AE153" s="1"/>
  <c r="U160"/>
  <c r="V153"/>
  <c r="U261"/>
  <c r="Z156" s="1"/>
  <c r="AE156" s="1"/>
  <c r="V156"/>
  <c r="U260"/>
  <c r="V155"/>
  <c r="Y32" i="12"/>
  <c r="Y23"/>
  <c r="Z43"/>
  <c r="Z44" s="1"/>
  <c r="Y44"/>
  <c r="P83" i="14"/>
  <c r="R56"/>
  <c r="Z35" i="12"/>
  <c r="Z41"/>
  <c r="Z39"/>
  <c r="Z40"/>
  <c r="Z16"/>
  <c r="Z21"/>
  <c r="Z20"/>
  <c r="P42" i="14"/>
  <c r="P260"/>
  <c r="J13"/>
  <c r="Z12" i="12"/>
  <c r="Z10"/>
  <c r="Z8"/>
  <c r="Z22"/>
  <c r="P56" i="14"/>
  <c r="P259"/>
  <c r="X78"/>
  <c r="AC78" s="1"/>
  <c r="X65"/>
  <c r="AC65" s="1"/>
  <c r="X51"/>
  <c r="AC51" s="1"/>
  <c r="P257"/>
  <c r="X242"/>
  <c r="AC242" s="1"/>
  <c r="X228"/>
  <c r="AC228" s="1"/>
  <c r="X197"/>
  <c r="AC197" s="1"/>
  <c r="X183"/>
  <c r="AC183" s="1"/>
  <c r="X120"/>
  <c r="AC120" s="1"/>
  <c r="X152"/>
  <c r="AC152" s="1"/>
  <c r="X166"/>
  <c r="AC166" s="1"/>
  <c r="X211"/>
  <c r="AC211" s="1"/>
  <c r="X138"/>
  <c r="AC138" s="1"/>
  <c r="X107"/>
  <c r="AC107" s="1"/>
  <c r="X62"/>
  <c r="AC62" s="1"/>
  <c r="X48"/>
  <c r="AC48" s="1"/>
  <c r="X34"/>
  <c r="AC34" s="1"/>
  <c r="X21"/>
  <c r="AC21" s="1"/>
  <c r="P262"/>
  <c r="W12"/>
  <c r="X245"/>
  <c r="AC245" s="1"/>
  <c r="X231"/>
  <c r="AC231" s="1"/>
  <c r="X214"/>
  <c r="AC214" s="1"/>
  <c r="X200"/>
  <c r="AC200" s="1"/>
  <c r="X186"/>
  <c r="AC186" s="1"/>
  <c r="X155"/>
  <c r="AC155" s="1"/>
  <c r="X123"/>
  <c r="AC123" s="1"/>
  <c r="X110"/>
  <c r="AC110" s="1"/>
  <c r="X169"/>
  <c r="AC169" s="1"/>
  <c r="X141"/>
  <c r="AC141" s="1"/>
  <c r="X24"/>
  <c r="AC24" s="1"/>
  <c r="X7"/>
  <c r="X10"/>
  <c r="R61"/>
  <c r="S70"/>
  <c r="P258"/>
  <c r="V74"/>
  <c r="R83"/>
  <c r="P67"/>
  <c r="Z17" i="12"/>
  <c r="Z14"/>
  <c r="Z15"/>
  <c r="Z23" s="1"/>
  <c r="Z11"/>
  <c r="Z13"/>
  <c r="Z18"/>
  <c r="Z19"/>
  <c r="H8" i="20" l="1"/>
  <c r="K10"/>
  <c r="E46" i="21"/>
  <c r="D46"/>
  <c r="AC258" i="14"/>
  <c r="AC94"/>
  <c r="I38" i="20"/>
  <c r="J34"/>
  <c r="K34" s="1"/>
  <c r="L16"/>
  <c r="I9"/>
  <c r="E9"/>
  <c r="K9" s="1"/>
  <c r="AB12" i="14"/>
  <c r="X260"/>
  <c r="AC10"/>
  <c r="X257"/>
  <c r="AC7"/>
  <c r="AB7"/>
  <c r="AE7"/>
  <c r="Z259"/>
  <c r="AE9"/>
  <c r="Z152"/>
  <c r="AE152" s="1"/>
  <c r="Z166"/>
  <c r="AE166" s="1"/>
  <c r="Z183"/>
  <c r="AE183" s="1"/>
  <c r="Z197"/>
  <c r="AE197" s="1"/>
  <c r="Z228"/>
  <c r="AE228" s="1"/>
  <c r="Z48"/>
  <c r="AE48" s="1"/>
  <c r="Z62"/>
  <c r="AE62" s="1"/>
  <c r="Z75"/>
  <c r="AE75" s="1"/>
  <c r="Z34"/>
  <c r="AE34" s="1"/>
  <c r="Z211"/>
  <c r="AE211" s="1"/>
  <c r="Z107"/>
  <c r="AE107" s="1"/>
  <c r="Z120"/>
  <c r="AE120" s="1"/>
  <c r="Z138"/>
  <c r="AE138" s="1"/>
  <c r="Z21"/>
  <c r="AE21" s="1"/>
  <c r="Z242"/>
  <c r="AE242" s="1"/>
  <c r="X96"/>
  <c r="X93"/>
  <c r="Z200"/>
  <c r="AE200" s="1"/>
  <c r="Z186"/>
  <c r="AE186" s="1"/>
  <c r="Z78"/>
  <c r="AE78" s="1"/>
  <c r="Z37"/>
  <c r="AE37" s="1"/>
  <c r="Z24"/>
  <c r="AE24" s="1"/>
  <c r="Z169"/>
  <c r="AE169" s="1"/>
  <c r="Z214"/>
  <c r="AE214" s="1"/>
  <c r="Z141"/>
  <c r="AE141" s="1"/>
  <c r="Z231"/>
  <c r="AE231" s="1"/>
  <c r="Z65"/>
  <c r="AE65" s="1"/>
  <c r="Z110"/>
  <c r="AE110" s="1"/>
  <c r="Z123"/>
  <c r="AE123" s="1"/>
  <c r="Z51"/>
  <c r="AE51" s="1"/>
  <c r="Z10"/>
  <c r="Z245"/>
  <c r="AE245" s="1"/>
  <c r="Z184"/>
  <c r="AE184" s="1"/>
  <c r="Z198"/>
  <c r="AE198" s="1"/>
  <c r="Z108"/>
  <c r="AE108" s="1"/>
  <c r="Z63"/>
  <c r="AE63" s="1"/>
  <c r="Z8"/>
  <c r="Z121"/>
  <c r="AE121" s="1"/>
  <c r="Z229"/>
  <c r="AE229" s="1"/>
  <c r="Z212"/>
  <c r="AE212" s="1"/>
  <c r="Z22"/>
  <c r="AE22" s="1"/>
  <c r="Z76"/>
  <c r="AE76" s="1"/>
  <c r="Z167"/>
  <c r="AE167" s="1"/>
  <c r="Z49"/>
  <c r="AE49" s="1"/>
  <c r="Z139"/>
  <c r="AE139" s="1"/>
  <c r="Z35"/>
  <c r="AE35" s="1"/>
  <c r="Z243"/>
  <c r="AE243" s="1"/>
  <c r="Z170"/>
  <c r="AE170" s="1"/>
  <c r="Z11"/>
  <c r="Z142"/>
  <c r="AE142" s="1"/>
  <c r="Z187"/>
  <c r="AE187" s="1"/>
  <c r="Z79"/>
  <c r="AE79" s="1"/>
  <c r="Z52"/>
  <c r="AE52" s="1"/>
  <c r="Z25"/>
  <c r="AE25" s="1"/>
  <c r="Z232"/>
  <c r="AE232" s="1"/>
  <c r="Z215"/>
  <c r="AE215" s="1"/>
  <c r="Z124"/>
  <c r="AE124" s="1"/>
  <c r="Z111"/>
  <c r="AE111" s="1"/>
  <c r="Z66"/>
  <c r="AE66" s="1"/>
  <c r="Z201"/>
  <c r="AE201" s="1"/>
  <c r="Z38"/>
  <c r="AE38" s="1"/>
  <c r="Z246"/>
  <c r="AE246" s="1"/>
  <c r="Z95"/>
  <c r="Z189"/>
  <c r="AE189" s="1"/>
  <c r="Z113"/>
  <c r="AE113" s="1"/>
  <c r="Z68"/>
  <c r="AE68" s="1"/>
  <c r="Z203"/>
  <c r="AE203" s="1"/>
  <c r="Z54"/>
  <c r="AE54" s="1"/>
  <c r="Z13"/>
  <c r="Z81"/>
  <c r="AE81" s="1"/>
  <c r="Z144"/>
  <c r="AE144" s="1"/>
  <c r="Z234"/>
  <c r="AE234" s="1"/>
  <c r="Z40"/>
  <c r="AE40" s="1"/>
  <c r="Z27"/>
  <c r="AE27" s="1"/>
  <c r="Z126"/>
  <c r="AE126" s="1"/>
  <c r="Z217"/>
  <c r="AE217" s="1"/>
  <c r="Z172"/>
  <c r="AE172" s="1"/>
  <c r="Z155"/>
  <c r="AE155" s="1"/>
  <c r="Y33" i="12"/>
  <c r="Y45" s="1"/>
  <c r="W241" i="14"/>
  <c r="AB241" s="1"/>
  <c r="W227"/>
  <c r="AB227" s="1"/>
  <c r="W196"/>
  <c r="AB196" s="1"/>
  <c r="W182"/>
  <c r="AB182" s="1"/>
  <c r="W119"/>
  <c r="AB119" s="1"/>
  <c r="W210"/>
  <c r="AB210" s="1"/>
  <c r="W106"/>
  <c r="AB106" s="1"/>
  <c r="W165"/>
  <c r="AB165" s="1"/>
  <c r="W151"/>
  <c r="AB151" s="1"/>
  <c r="W137"/>
  <c r="AB137" s="1"/>
  <c r="W47"/>
  <c r="W245"/>
  <c r="AB245" s="1"/>
  <c r="W231"/>
  <c r="AB231" s="1"/>
  <c r="W214"/>
  <c r="AB214" s="1"/>
  <c r="W123"/>
  <c r="AB123" s="1"/>
  <c r="W110"/>
  <c r="AB110" s="1"/>
  <c r="W169"/>
  <c r="AB169" s="1"/>
  <c r="W141"/>
  <c r="AB141" s="1"/>
  <c r="W200"/>
  <c r="AB200" s="1"/>
  <c r="W186"/>
  <c r="AB186" s="1"/>
  <c r="W155"/>
  <c r="AB155" s="1"/>
  <c r="W37"/>
  <c r="AB37" s="1"/>
  <c r="W10"/>
  <c r="W24"/>
  <c r="AB24" s="1"/>
  <c r="W51"/>
  <c r="AB51" s="1"/>
  <c r="W78"/>
  <c r="AB78" s="1"/>
  <c r="W212"/>
  <c r="AB212" s="1"/>
  <c r="W229"/>
  <c r="AB229" s="1"/>
  <c r="W198"/>
  <c r="AB198" s="1"/>
  <c r="W153"/>
  <c r="W139"/>
  <c r="AB139" s="1"/>
  <c r="W184"/>
  <c r="AB184" s="1"/>
  <c r="W243"/>
  <c r="AB243" s="1"/>
  <c r="W167"/>
  <c r="AB167" s="1"/>
  <c r="W121"/>
  <c r="AB121" s="1"/>
  <c r="W22"/>
  <c r="AB22" s="1"/>
  <c r="W108"/>
  <c r="AB108" s="1"/>
  <c r="W8"/>
  <c r="W49"/>
  <c r="AB49" s="1"/>
  <c r="W35"/>
  <c r="AB35" s="1"/>
  <c r="W76"/>
  <c r="AB76" s="1"/>
  <c r="W63"/>
  <c r="AB63" s="1"/>
  <c r="W152"/>
  <c r="W166"/>
  <c r="AB166" s="1"/>
  <c r="W138"/>
  <c r="AB138" s="1"/>
  <c r="W197"/>
  <c r="AB197" s="1"/>
  <c r="W183"/>
  <c r="AB183" s="1"/>
  <c r="W120"/>
  <c r="AB120" s="1"/>
  <c r="W228"/>
  <c r="AB228" s="1"/>
  <c r="V257"/>
  <c r="W107"/>
  <c r="AB107" s="1"/>
  <c r="W211"/>
  <c r="AB211" s="1"/>
  <c r="W62"/>
  <c r="AB62" s="1"/>
  <c r="W242"/>
  <c r="AB242" s="1"/>
  <c r="W75"/>
  <c r="AB75" s="1"/>
  <c r="W21"/>
  <c r="AB21" s="1"/>
  <c r="W34"/>
  <c r="AB34" s="1"/>
  <c r="W48"/>
  <c r="AB48" s="1"/>
  <c r="W74"/>
  <c r="AB74" s="1"/>
  <c r="W67"/>
  <c r="AB67" s="1"/>
  <c r="AF67" s="1"/>
  <c r="V61"/>
  <c r="W61"/>
  <c r="AB61" s="1"/>
  <c r="W247"/>
  <c r="AB247" s="1"/>
  <c r="AF247" s="1"/>
  <c r="W216"/>
  <c r="AB216" s="1"/>
  <c r="W233"/>
  <c r="AB233" s="1"/>
  <c r="AF233" s="1"/>
  <c r="W125"/>
  <c r="AB125" s="1"/>
  <c r="AF125" s="1"/>
  <c r="W112"/>
  <c r="AB112" s="1"/>
  <c r="AF112" s="1"/>
  <c r="W26"/>
  <c r="AB26" s="1"/>
  <c r="W202"/>
  <c r="AB202" s="1"/>
  <c r="AF202" s="1"/>
  <c r="W171"/>
  <c r="AB171" s="1"/>
  <c r="AF171" s="1"/>
  <c r="W143"/>
  <c r="AB143" s="1"/>
  <c r="AF143" s="1"/>
  <c r="W188"/>
  <c r="AB188" s="1"/>
  <c r="AF188" s="1"/>
  <c r="W157"/>
  <c r="W53"/>
  <c r="AB53" s="1"/>
  <c r="W39"/>
  <c r="AB39" s="1"/>
  <c r="AF39" s="1"/>
  <c r="W80"/>
  <c r="AB80" s="1"/>
  <c r="AF80" s="1"/>
  <c r="W65"/>
  <c r="AB65" s="1"/>
  <c r="AA7"/>
  <c r="AB47" l="1"/>
  <c r="W92"/>
  <c r="W256"/>
  <c r="H38" i="20"/>
  <c r="I34"/>
  <c r="I8"/>
  <c r="E8"/>
  <c r="L9"/>
  <c r="AB98" i="14"/>
  <c r="AF155"/>
  <c r="AF35"/>
  <c r="AF76"/>
  <c r="AF198"/>
  <c r="AF231"/>
  <c r="AF166"/>
  <c r="AA157"/>
  <c r="AB157"/>
  <c r="AF157" s="1"/>
  <c r="W262"/>
  <c r="AC260"/>
  <c r="AC96"/>
  <c r="AC257"/>
  <c r="AC93"/>
  <c r="W258"/>
  <c r="AB8"/>
  <c r="AA153"/>
  <c r="AB153"/>
  <c r="AF153" s="1"/>
  <c r="AF139"/>
  <c r="AF184"/>
  <c r="AF123"/>
  <c r="AF141"/>
  <c r="AF37"/>
  <c r="W257"/>
  <c r="W260"/>
  <c r="AB10"/>
  <c r="AF200"/>
  <c r="AF243"/>
  <c r="AF167"/>
  <c r="AF229"/>
  <c r="AF108"/>
  <c r="AF65"/>
  <c r="AF169"/>
  <c r="AF186"/>
  <c r="AF183"/>
  <c r="AA152"/>
  <c r="AB152"/>
  <c r="AF152" s="1"/>
  <c r="AB93"/>
  <c r="AF121"/>
  <c r="AF212"/>
  <c r="AF63"/>
  <c r="AF245"/>
  <c r="AF110"/>
  <c r="AF214"/>
  <c r="AF78"/>
  <c r="AF120"/>
  <c r="AF75"/>
  <c r="AF197"/>
  <c r="AE95"/>
  <c r="AE259"/>
  <c r="Z257"/>
  <c r="AE13"/>
  <c r="Z258"/>
  <c r="AE8"/>
  <c r="AF138"/>
  <c r="AF34"/>
  <c r="AF228"/>
  <c r="Z93"/>
  <c r="Z261"/>
  <c r="AE11"/>
  <c r="AF211"/>
  <c r="AE257"/>
  <c r="AF7"/>
  <c r="AE93"/>
  <c r="Z260"/>
  <c r="AE10"/>
  <c r="AF242"/>
  <c r="AF107"/>
  <c r="AF62"/>
  <c r="W98"/>
  <c r="AA155"/>
  <c r="W94"/>
  <c r="W96"/>
  <c r="Z96"/>
  <c r="Z97"/>
  <c r="Z99"/>
  <c r="Z94"/>
  <c r="W93"/>
  <c r="AA139"/>
  <c r="AA143"/>
  <c r="AA141"/>
  <c r="Z33" i="12"/>
  <c r="Z45" s="1"/>
  <c r="V26" i="14"/>
  <c r="AA211"/>
  <c r="AA228"/>
  <c r="V65"/>
  <c r="V75"/>
  <c r="AA107"/>
  <c r="AA183"/>
  <c r="V76"/>
  <c r="V78"/>
  <c r="V80"/>
  <c r="V67"/>
  <c r="AA120"/>
  <c r="V62"/>
  <c r="AA62"/>
  <c r="AA21"/>
  <c r="AA166"/>
  <c r="V34"/>
  <c r="AA34"/>
  <c r="AA138"/>
  <c r="V63"/>
  <c r="V53"/>
  <c r="AA48"/>
  <c r="AA242"/>
  <c r="AA197"/>
  <c r="L8" i="20" l="1"/>
  <c r="AB256" i="14"/>
  <c r="AB92"/>
  <c r="H34" i="20"/>
  <c r="G34" s="1"/>
  <c r="L34" s="1"/>
  <c r="L38"/>
  <c r="K38" s="1"/>
  <c r="AB262" i="14"/>
  <c r="AB258"/>
  <c r="AB94"/>
  <c r="AB260"/>
  <c r="AB96"/>
  <c r="AB257"/>
  <c r="AE94"/>
  <c r="AF94" s="1"/>
  <c r="AE258"/>
  <c r="AF8"/>
  <c r="AE99"/>
  <c r="AF93"/>
  <c r="AF10"/>
  <c r="AE96"/>
  <c r="AE260"/>
  <c r="AE261"/>
  <c r="AE97"/>
  <c r="L4" i="21" l="1"/>
  <c r="K4" s="1"/>
  <c r="AF96" i="14"/>
  <c r="O35" i="5"/>
  <c r="S35" s="1"/>
  <c r="M35"/>
  <c r="L35"/>
  <c r="K35"/>
  <c r="I35" l="1"/>
  <c r="O32"/>
  <c r="S32" s="1"/>
  <c r="M32"/>
  <c r="L32"/>
  <c r="K32"/>
  <c r="J32"/>
  <c r="O31"/>
  <c r="S31" s="1"/>
  <c r="M31"/>
  <c r="L31"/>
  <c r="K31"/>
  <c r="J31"/>
  <c r="I31"/>
  <c r="O30"/>
  <c r="S30" s="1"/>
  <c r="M30"/>
  <c r="L30"/>
  <c r="K30"/>
  <c r="J30"/>
  <c r="O29"/>
  <c r="S29" s="1"/>
  <c r="M29"/>
  <c r="L29"/>
  <c r="K29"/>
  <c r="I33" l="1"/>
  <c r="I32"/>
  <c r="I29"/>
  <c r="I30"/>
  <c r="I12" l="1"/>
  <c r="M11"/>
  <c r="L11"/>
  <c r="K11"/>
  <c r="J11"/>
  <c r="I11"/>
  <c r="D38" i="8" l="1"/>
  <c r="F38" s="1"/>
  <c r="D15" i="7"/>
  <c r="C15"/>
  <c r="B15"/>
  <c r="H14"/>
  <c r="G14"/>
  <c r="F14"/>
  <c r="E14"/>
  <c r="H13"/>
  <c r="G13"/>
  <c r="F13"/>
  <c r="E13"/>
  <c r="H12"/>
  <c r="G12"/>
  <c r="F12"/>
  <c r="E12"/>
  <c r="D11"/>
  <c r="C11"/>
  <c r="B11"/>
  <c r="H10"/>
  <c r="G10"/>
  <c r="F10"/>
  <c r="E10"/>
  <c r="H9"/>
  <c r="G9"/>
  <c r="F9"/>
  <c r="E9"/>
  <c r="H8"/>
  <c r="G8"/>
  <c r="F11"/>
  <c r="E8"/>
  <c r="H7"/>
  <c r="G7"/>
  <c r="F7"/>
  <c r="E7"/>
  <c r="H11" l="1"/>
  <c r="H15" s="1"/>
  <c r="G11"/>
  <c r="Q10" i="8"/>
  <c r="T10" s="1"/>
  <c r="Q14"/>
  <c r="T14" s="1"/>
  <c r="Q18"/>
  <c r="T18" s="1"/>
  <c r="Q22"/>
  <c r="T22" s="1"/>
  <c r="Q27"/>
  <c r="T27" s="1"/>
  <c r="R27"/>
  <c r="R31"/>
  <c r="Q31"/>
  <c r="T31" s="1"/>
  <c r="R35"/>
  <c r="Q35"/>
  <c r="T35" s="1"/>
  <c r="T9"/>
  <c r="Q13"/>
  <c r="T13" s="1"/>
  <c r="Q17"/>
  <c r="T17" s="1"/>
  <c r="Q21"/>
  <c r="T21" s="1"/>
  <c r="R26"/>
  <c r="Q26"/>
  <c r="T26" s="1"/>
  <c r="Q30"/>
  <c r="T30" s="1"/>
  <c r="R30"/>
  <c r="R34"/>
  <c r="Q34"/>
  <c r="T34" s="1"/>
  <c r="Q12"/>
  <c r="T12" s="1"/>
  <c r="Q20"/>
  <c r="T20" s="1"/>
  <c r="R29"/>
  <c r="Q29"/>
  <c r="T29" s="1"/>
  <c r="Q37"/>
  <c r="T37" s="1"/>
  <c r="R37"/>
  <c r="Q8"/>
  <c r="T8" s="1"/>
  <c r="Q16"/>
  <c r="T16" s="1"/>
  <c r="R33"/>
  <c r="Q33"/>
  <c r="T33" s="1"/>
  <c r="Q11"/>
  <c r="T11" s="1"/>
  <c r="Q15"/>
  <c r="T15" s="1"/>
  <c r="Q19"/>
  <c r="T19" s="1"/>
  <c r="Q23"/>
  <c r="T23" s="1"/>
  <c r="Q28"/>
  <c r="T28" s="1"/>
  <c r="R28"/>
  <c r="Q32"/>
  <c r="T32" s="1"/>
  <c r="R32"/>
  <c r="Q36"/>
  <c r="T36" s="1"/>
  <c r="R36"/>
  <c r="G15" i="7"/>
  <c r="I7"/>
  <c r="J7" s="1"/>
  <c r="I9"/>
  <c r="J9" s="1"/>
  <c r="I10"/>
  <c r="J10" s="1"/>
  <c r="I12"/>
  <c r="J12" s="1"/>
  <c r="I13"/>
  <c r="J13" s="1"/>
  <c r="I14"/>
  <c r="J14" s="1"/>
  <c r="E11"/>
  <c r="E15"/>
  <c r="I8"/>
  <c r="J8" s="1"/>
  <c r="F15"/>
  <c r="D14" i="6"/>
  <c r="E14" s="1"/>
  <c r="D12"/>
  <c r="D11"/>
  <c r="D10"/>
  <c r="F31" i="3"/>
  <c r="N35" i="5" s="1"/>
  <c r="R35" s="1"/>
  <c r="F30" i="3"/>
  <c r="F29"/>
  <c r="N32" i="5" s="1"/>
  <c r="R32" s="1"/>
  <c r="I28" i="3"/>
  <c r="F28"/>
  <c r="N31" i="5" s="1"/>
  <c r="N30"/>
  <c r="F26" i="3"/>
  <c r="N29" i="5" s="1"/>
  <c r="G25" i="3"/>
  <c r="G24"/>
  <c r="O27" i="5" s="1"/>
  <c r="S27" s="1"/>
  <c r="E22" i="3"/>
  <c r="G23"/>
  <c r="G21"/>
  <c r="O24" i="5" s="1"/>
  <c r="S24" s="1"/>
  <c r="G20" i="3"/>
  <c r="O23" i="5" s="1"/>
  <c r="S23" s="1"/>
  <c r="G19" i="3"/>
  <c r="O22" i="5" s="1"/>
  <c r="S22" s="1"/>
  <c r="G18" i="3"/>
  <c r="O21" i="5" s="1"/>
  <c r="S21" s="1"/>
  <c r="F18" i="3"/>
  <c r="G17"/>
  <c r="O20" i="5" s="1"/>
  <c r="S20" s="1"/>
  <c r="G16" i="3"/>
  <c r="D15"/>
  <c r="G13"/>
  <c r="E13"/>
  <c r="C13"/>
  <c r="B13"/>
  <c r="D13"/>
  <c r="G11"/>
  <c r="O14" i="5" s="1"/>
  <c r="S14" s="1"/>
  <c r="E10" i="3"/>
  <c r="D10"/>
  <c r="C10"/>
  <c r="G9"/>
  <c r="O12" i="5" s="1"/>
  <c r="S12" s="1"/>
  <c r="E7" i="3"/>
  <c r="D7"/>
  <c r="D6" s="1"/>
  <c r="C7"/>
  <c r="G8"/>
  <c r="F8"/>
  <c r="N11" i="5" s="1"/>
  <c r="R11" s="1"/>
  <c r="B7" i="3"/>
  <c r="F34" i="4"/>
  <c r="I34" s="1"/>
  <c r="F33"/>
  <c r="I33" s="1"/>
  <c r="F32"/>
  <c r="I32" s="1"/>
  <c r="F31"/>
  <c r="I31" s="1"/>
  <c r="F30"/>
  <c r="I30" s="1"/>
  <c r="F29"/>
  <c r="I29" s="1"/>
  <c r="F28"/>
  <c r="I28" s="1"/>
  <c r="F27"/>
  <c r="I27" s="1"/>
  <c r="F26"/>
  <c r="I26" s="1"/>
  <c r="F25"/>
  <c r="I25" s="1"/>
  <c r="F24"/>
  <c r="I24" s="1"/>
  <c r="F23"/>
  <c r="I23" s="1"/>
  <c r="F22"/>
  <c r="I22" s="1"/>
  <c r="F21"/>
  <c r="I21" s="1"/>
  <c r="F20"/>
  <c r="I20" s="1"/>
  <c r="F19"/>
  <c r="I19" s="1"/>
  <c r="F18"/>
  <c r="I18" s="1"/>
  <c r="F17"/>
  <c r="F16"/>
  <c r="F15"/>
  <c r="F14"/>
  <c r="F13"/>
  <c r="F12"/>
  <c r="F11"/>
  <c r="I11" s="1"/>
  <c r="F10"/>
  <c r="I10" s="1"/>
  <c r="F9"/>
  <c r="I9" s="1"/>
  <c r="F8"/>
  <c r="F6"/>
  <c r="I6" s="1"/>
  <c r="F5"/>
  <c r="D39" i="2"/>
  <c r="D15"/>
  <c r="C15"/>
  <c r="B15"/>
  <c r="E14"/>
  <c r="E13"/>
  <c r="E12"/>
  <c r="E11"/>
  <c r="E10"/>
  <c r="E9"/>
  <c r="E8"/>
  <c r="D13" i="6" l="1"/>
  <c r="E13" s="1"/>
  <c r="Q30" i="5"/>
  <c r="T30" s="1"/>
  <c r="R30"/>
  <c r="Q29"/>
  <c r="T29" s="1"/>
  <c r="R29"/>
  <c r="Q31"/>
  <c r="T31" s="1"/>
  <c r="R31"/>
  <c r="I14" i="4"/>
  <c r="I12"/>
  <c r="I16"/>
  <c r="I5"/>
  <c r="I8" i="3"/>
  <c r="Q35" i="5"/>
  <c r="T35" s="1"/>
  <c r="I31" i="3"/>
  <c r="I30"/>
  <c r="Q34" i="5" s="1"/>
  <c r="Q32"/>
  <c r="T32" s="1"/>
  <c r="I29" i="3"/>
  <c r="I27"/>
  <c r="I26"/>
  <c r="I11" i="7"/>
  <c r="J11" s="1"/>
  <c r="C6" i="3"/>
  <c r="E6"/>
  <c r="F24"/>
  <c r="I24" s="1"/>
  <c r="F11"/>
  <c r="F10" s="1"/>
  <c r="N13" i="5" s="1"/>
  <c r="R13" s="1"/>
  <c r="C15" i="3"/>
  <c r="F21"/>
  <c r="I21" s="1"/>
  <c r="Q7" i="8"/>
  <c r="T7" s="1"/>
  <c r="I8" i="4"/>
  <c r="I13"/>
  <c r="I17"/>
  <c r="I15"/>
  <c r="E15" i="2"/>
  <c r="I18" i="3"/>
  <c r="F25"/>
  <c r="I25" s="1"/>
  <c r="C22"/>
  <c r="G22"/>
  <c r="O25" i="5" s="1"/>
  <c r="S25" s="1"/>
  <c r="D22" i="3"/>
  <c r="D12" s="1"/>
  <c r="D32" s="1"/>
  <c r="F23"/>
  <c r="G10"/>
  <c r="O13" i="5" s="1"/>
  <c r="S13" s="1"/>
  <c r="F20" i="3"/>
  <c r="I20" s="1"/>
  <c r="F19"/>
  <c r="I19" s="1"/>
  <c r="G15"/>
  <c r="O18" i="5" s="1"/>
  <c r="S18" s="1"/>
  <c r="B15" i="3"/>
  <c r="E15"/>
  <c r="E12" s="1"/>
  <c r="F17"/>
  <c r="I17" s="1"/>
  <c r="F9"/>
  <c r="I9" s="1"/>
  <c r="F16"/>
  <c r="I16" s="1"/>
  <c r="F14"/>
  <c r="F13" s="1"/>
  <c r="G7"/>
  <c r="B10"/>
  <c r="B6" s="1"/>
  <c r="J9" i="5" s="1"/>
  <c r="B22" i="3"/>
  <c r="N21" i="5"/>
  <c r="R21" s="1"/>
  <c r="F22" i="3" l="1"/>
  <c r="N25" i="5" s="1"/>
  <c r="N23"/>
  <c r="R23" s="1"/>
  <c r="C12" i="3"/>
  <c r="C32" s="1"/>
  <c r="I14"/>
  <c r="I11"/>
  <c r="N27" i="5"/>
  <c r="G6" i="3"/>
  <c r="O9" i="5" s="1"/>
  <c r="S9" s="1"/>
  <c r="N24"/>
  <c r="I10" i="3"/>
  <c r="N20" i="5"/>
  <c r="B12" i="3"/>
  <c r="B32" s="1"/>
  <c r="F7"/>
  <c r="I7" s="1"/>
  <c r="E32"/>
  <c r="N12" i="5"/>
  <c r="N22"/>
  <c r="G12" i="3"/>
  <c r="O15" i="5" s="1"/>
  <c r="S15" s="1"/>
  <c r="I22" i="3"/>
  <c r="I23"/>
  <c r="F15"/>
  <c r="I15" s="1"/>
  <c r="M21" i="5"/>
  <c r="L21" s="1"/>
  <c r="K21" s="1"/>
  <c r="J21" s="1"/>
  <c r="I21" s="1"/>
  <c r="Q21"/>
  <c r="M12"/>
  <c r="L12" s="1"/>
  <c r="K12" s="1"/>
  <c r="J12" s="1"/>
  <c r="M22"/>
  <c r="L22" s="1"/>
  <c r="K22" s="1"/>
  <c r="J22" s="1"/>
  <c r="I22" s="1"/>
  <c r="I13" i="3"/>
  <c r="M25" i="5"/>
  <c r="L25" s="1"/>
  <c r="K25" s="1"/>
  <c r="J25" s="1"/>
  <c r="I25" s="1"/>
  <c r="M20"/>
  <c r="L20" s="1"/>
  <c r="K20" s="1"/>
  <c r="J20" s="1"/>
  <c r="I20" s="1"/>
  <c r="M18"/>
  <c r="L18" s="1"/>
  <c r="K18" s="1"/>
  <c r="J18" s="1"/>
  <c r="I18" s="1"/>
  <c r="M24"/>
  <c r="L24" s="1"/>
  <c r="K24" s="1"/>
  <c r="J24" s="1"/>
  <c r="I24" s="1"/>
  <c r="M23"/>
  <c r="L23" s="1"/>
  <c r="K23" s="1"/>
  <c r="J23" s="1"/>
  <c r="I23" s="1"/>
  <c r="Q23"/>
  <c r="T23" s="1"/>
  <c r="M13"/>
  <c r="L13" s="1"/>
  <c r="K13" s="1"/>
  <c r="J13" s="1"/>
  <c r="I13" s="1"/>
  <c r="Q13"/>
  <c r="M27"/>
  <c r="L27" s="1"/>
  <c r="K27" s="1"/>
  <c r="J27" s="1"/>
  <c r="I27" s="1"/>
  <c r="T13" l="1"/>
  <c r="T21"/>
  <c r="J36"/>
  <c r="Q25"/>
  <c r="T25" s="1"/>
  <c r="R25"/>
  <c r="Q12"/>
  <c r="T12" s="1"/>
  <c r="R12"/>
  <c r="Q20"/>
  <c r="T20" s="1"/>
  <c r="R20"/>
  <c r="Q27"/>
  <c r="T27" s="1"/>
  <c r="R27"/>
  <c r="Q22"/>
  <c r="T22" s="1"/>
  <c r="R22"/>
  <c r="Q24"/>
  <c r="T24" s="1"/>
  <c r="R24"/>
  <c r="F6" i="3"/>
  <c r="F12"/>
  <c r="I12" s="1"/>
  <c r="N18" i="5"/>
  <c r="M15"/>
  <c r="L15" s="1"/>
  <c r="K15" s="1"/>
  <c r="J15" s="1"/>
  <c r="I15" s="1"/>
  <c r="I6" i="3" l="1"/>
  <c r="F32"/>
  <c r="N36" i="5" s="1"/>
  <c r="M36" s="1"/>
  <c r="L36" s="1"/>
  <c r="K36" s="1"/>
  <c r="Q18"/>
  <c r="T18" s="1"/>
  <c r="R18"/>
  <c r="N9"/>
  <c r="N15"/>
  <c r="M9"/>
  <c r="L9" s="1"/>
  <c r="K9" s="1"/>
  <c r="I9" s="1"/>
  <c r="I15" i="7"/>
  <c r="J15" s="1"/>
  <c r="N10" i="5"/>
  <c r="R10" s="1"/>
  <c r="O10"/>
  <c r="S10" s="1"/>
  <c r="O11"/>
  <c r="S11" s="1"/>
  <c r="N14"/>
  <c r="N16"/>
  <c r="R16" s="1"/>
  <c r="O16"/>
  <c r="S16" s="1"/>
  <c r="M14"/>
  <c r="L14"/>
  <c r="K14"/>
  <c r="J14"/>
  <c r="I14"/>
  <c r="M10"/>
  <c r="L10"/>
  <c r="K10"/>
  <c r="J10"/>
  <c r="I10"/>
  <c r="N17"/>
  <c r="R17" s="1"/>
  <c r="O17"/>
  <c r="S17" s="1"/>
  <c r="N26"/>
  <c r="R26" s="1"/>
  <c r="O26"/>
  <c r="S26" s="1"/>
  <c r="M16"/>
  <c r="L16"/>
  <c r="K16"/>
  <c r="J16"/>
  <c r="N19"/>
  <c r="R19" s="1"/>
  <c r="O19"/>
  <c r="S19" s="1"/>
  <c r="M17"/>
  <c r="L17"/>
  <c r="K17"/>
  <c r="J17"/>
  <c r="I17"/>
  <c r="N28"/>
  <c r="R28" s="1"/>
  <c r="O28"/>
  <c r="S28" s="1"/>
  <c r="M19"/>
  <c r="L19"/>
  <c r="K19"/>
  <c r="J19"/>
  <c r="I19"/>
  <c r="M26"/>
  <c r="L26"/>
  <c r="K26"/>
  <c r="J26"/>
  <c r="I26"/>
  <c r="M28"/>
  <c r="L28"/>
  <c r="K28"/>
  <c r="J28"/>
  <c r="I28"/>
  <c r="Q14" l="1"/>
  <c r="T14" s="1"/>
  <c r="R14"/>
  <c r="Q9"/>
  <c r="T9" s="1"/>
  <c r="R9"/>
  <c r="Q15"/>
  <c r="T15" s="1"/>
  <c r="R15"/>
  <c r="Q28"/>
  <c r="T28" s="1"/>
  <c r="Q17"/>
  <c r="T17" s="1"/>
  <c r="Q26"/>
  <c r="T26" s="1"/>
  <c r="Q19"/>
  <c r="T19" s="1"/>
  <c r="Q11"/>
  <c r="T11" s="1"/>
  <c r="Q10"/>
  <c r="T10" s="1"/>
  <c r="Q16"/>
  <c r="I16"/>
  <c r="T16" l="1"/>
  <c r="AF21" i="14" l="1"/>
  <c r="M256"/>
  <c r="W230"/>
  <c r="AB230" s="1"/>
  <c r="W232"/>
  <c r="AB232" s="1"/>
  <c r="L68"/>
  <c r="L263" s="1"/>
  <c r="L265" s="1"/>
  <c r="M11"/>
  <c r="V146"/>
  <c r="V77"/>
  <c r="V79"/>
  <c r="V81"/>
  <c r="V64"/>
  <c r="V66"/>
  <c r="V128"/>
  <c r="V160"/>
  <c r="V191"/>
  <c r="V54"/>
  <c r="J12"/>
  <c r="J15" s="1"/>
  <c r="L70"/>
  <c r="K68"/>
  <c r="V205"/>
  <c r="M261" l="1"/>
  <c r="S11"/>
  <c r="X230"/>
  <c r="AC230" s="1"/>
  <c r="AF230" s="1"/>
  <c r="X9"/>
  <c r="X23"/>
  <c r="AC23" s="1"/>
  <c r="AA93"/>
  <c r="AA257"/>
  <c r="AF257" s="1"/>
  <c r="Y56"/>
  <c r="T101"/>
  <c r="V93"/>
  <c r="Y128"/>
  <c r="V260"/>
  <c r="P68"/>
  <c r="P70" s="1"/>
  <c r="Y115"/>
  <c r="V94"/>
  <c r="V83"/>
  <c r="M15"/>
  <c r="P20"/>
  <c r="P29" s="1"/>
  <c r="R29"/>
  <c r="K12"/>
  <c r="Y191"/>
  <c r="W244"/>
  <c r="AB244" s="1"/>
  <c r="W36"/>
  <c r="AB36" s="1"/>
  <c r="W168"/>
  <c r="AB168" s="1"/>
  <c r="W77"/>
  <c r="AB77" s="1"/>
  <c r="AA96"/>
  <c r="AA75"/>
  <c r="AF48"/>
  <c r="AA198"/>
  <c r="X36"/>
  <c r="AC36" s="1"/>
  <c r="X109"/>
  <c r="AC109" s="1"/>
  <c r="X168"/>
  <c r="AC168" s="1"/>
  <c r="M29"/>
  <c r="W79"/>
  <c r="AB79" s="1"/>
  <c r="W109"/>
  <c r="AB109" s="1"/>
  <c r="P11"/>
  <c r="P15" s="1"/>
  <c r="W170"/>
  <c r="AB170" s="1"/>
  <c r="W154"/>
  <c r="AB154" s="1"/>
  <c r="W23"/>
  <c r="AB23" s="1"/>
  <c r="V96"/>
  <c r="X199"/>
  <c r="AC199" s="1"/>
  <c r="X140"/>
  <c r="AC140" s="1"/>
  <c r="X64"/>
  <c r="AC64" s="1"/>
  <c r="W185"/>
  <c r="AB185" s="1"/>
  <c r="W122"/>
  <c r="AB122" s="1"/>
  <c r="W50"/>
  <c r="AB50" s="1"/>
  <c r="W213"/>
  <c r="AB213" s="1"/>
  <c r="X154"/>
  <c r="AC154" s="1"/>
  <c r="X77"/>
  <c r="AC77" s="1"/>
  <c r="W199"/>
  <c r="AB199" s="1"/>
  <c r="W140"/>
  <c r="AB140" s="1"/>
  <c r="W64"/>
  <c r="AB64" s="1"/>
  <c r="W9"/>
  <c r="X213"/>
  <c r="AC213" s="1"/>
  <c r="X185"/>
  <c r="AC185" s="1"/>
  <c r="X122"/>
  <c r="AC122" s="1"/>
  <c r="X50"/>
  <c r="AC50" s="1"/>
  <c r="Y83"/>
  <c r="R68"/>
  <c r="W156"/>
  <c r="AB156" s="1"/>
  <c r="W52"/>
  <c r="AB52" s="1"/>
  <c r="W187"/>
  <c r="AB187" s="1"/>
  <c r="W111"/>
  <c r="AB111" s="1"/>
  <c r="W25"/>
  <c r="AB25" s="1"/>
  <c r="W215"/>
  <c r="AB215" s="1"/>
  <c r="V259"/>
  <c r="W201"/>
  <c r="AB201" s="1"/>
  <c r="W124"/>
  <c r="AB124" s="1"/>
  <c r="W38"/>
  <c r="AB38" s="1"/>
  <c r="V258"/>
  <c r="P256"/>
  <c r="Y101"/>
  <c r="W217"/>
  <c r="AB217" s="1"/>
  <c r="AF217" s="1"/>
  <c r="P263"/>
  <c r="AA37"/>
  <c r="X215"/>
  <c r="AC215" s="1"/>
  <c r="M265"/>
  <c r="P261"/>
  <c r="Y250"/>
  <c r="V95"/>
  <c r="V56"/>
  <c r="AA216"/>
  <c r="AA243"/>
  <c r="W246"/>
  <c r="AB246" s="1"/>
  <c r="W142"/>
  <c r="AB142" s="1"/>
  <c r="W66"/>
  <c r="AB66" s="1"/>
  <c r="W11"/>
  <c r="X244"/>
  <c r="AC244" s="1"/>
  <c r="AD102" l="1"/>
  <c r="AF185"/>
  <c r="AF215"/>
  <c r="S97"/>
  <c r="V97" s="1"/>
  <c r="V11"/>
  <c r="X259"/>
  <c r="AC9"/>
  <c r="AF142"/>
  <c r="AF168"/>
  <c r="W261"/>
  <c r="AB11"/>
  <c r="W259"/>
  <c r="AB9"/>
  <c r="AF122"/>
  <c r="AF199"/>
  <c r="AF109"/>
  <c r="AF36"/>
  <c r="R99"/>
  <c r="R101" s="1"/>
  <c r="AF140"/>
  <c r="AF213"/>
  <c r="AB219"/>
  <c r="L101"/>
  <c r="AF154"/>
  <c r="AF64"/>
  <c r="AF77"/>
  <c r="AF244"/>
  <c r="U12"/>
  <c r="K15"/>
  <c r="U15" s="1"/>
  <c r="X95"/>
  <c r="W95"/>
  <c r="W97"/>
  <c r="AA154"/>
  <c r="AA140"/>
  <c r="Y42"/>
  <c r="Y29"/>
  <c r="X47"/>
  <c r="AC47" s="1"/>
  <c r="X33"/>
  <c r="AC33" s="1"/>
  <c r="X6"/>
  <c r="Y174"/>
  <c r="AA94"/>
  <c r="AA212"/>
  <c r="S15"/>
  <c r="M101"/>
  <c r="X25"/>
  <c r="X246"/>
  <c r="AC246" s="1"/>
  <c r="AF246" s="1"/>
  <c r="AA36"/>
  <c r="W126"/>
  <c r="AA109"/>
  <c r="X187"/>
  <c r="W68"/>
  <c r="AB68" s="1"/>
  <c r="W144"/>
  <c r="AA10"/>
  <c r="V261"/>
  <c r="W172"/>
  <c r="AB172" s="1"/>
  <c r="AF172" s="1"/>
  <c r="X201"/>
  <c r="AC201" s="1"/>
  <c r="AF201" s="1"/>
  <c r="X170"/>
  <c r="AC170" s="1"/>
  <c r="AF170" s="1"/>
  <c r="X11"/>
  <c r="AC11" s="1"/>
  <c r="AA77"/>
  <c r="X165"/>
  <c r="AC165" s="1"/>
  <c r="AA168"/>
  <c r="AF49"/>
  <c r="AA49"/>
  <c r="AA78"/>
  <c r="AA35"/>
  <c r="AA112"/>
  <c r="AA199"/>
  <c r="W219"/>
  <c r="AF23"/>
  <c r="AA23"/>
  <c r="X182"/>
  <c r="AA64"/>
  <c r="V29"/>
  <c r="S29"/>
  <c r="AA9"/>
  <c r="AA122"/>
  <c r="Y70"/>
  <c r="AF26"/>
  <c r="AA26"/>
  <c r="AA185"/>
  <c r="W40"/>
  <c r="W203"/>
  <c r="S265"/>
  <c r="W158"/>
  <c r="AB158" s="1"/>
  <c r="AF158" s="1"/>
  <c r="W113"/>
  <c r="W13"/>
  <c r="W27"/>
  <c r="AB27" s="1"/>
  <c r="AB29" s="1"/>
  <c r="X124"/>
  <c r="AC124" s="1"/>
  <c r="AF124" s="1"/>
  <c r="X142"/>
  <c r="AC142" s="1"/>
  <c r="X156"/>
  <c r="AC156" s="1"/>
  <c r="AF156" s="1"/>
  <c r="X111"/>
  <c r="AC111" s="1"/>
  <c r="AF111" s="1"/>
  <c r="X232"/>
  <c r="AC232" s="1"/>
  <c r="AF232" s="1"/>
  <c r="X20"/>
  <c r="AC20" s="1"/>
  <c r="X196"/>
  <c r="AC196" s="1"/>
  <c r="X151"/>
  <c r="AC151" s="1"/>
  <c r="X106"/>
  <c r="AC106" s="1"/>
  <c r="X119"/>
  <c r="AC119" s="1"/>
  <c r="AA233"/>
  <c r="AA76"/>
  <c r="AF50"/>
  <c r="AA50"/>
  <c r="X61"/>
  <c r="AC61" s="1"/>
  <c r="X241"/>
  <c r="X210"/>
  <c r="X227"/>
  <c r="AC227" s="1"/>
  <c r="V68"/>
  <c r="V70" s="1"/>
  <c r="R70"/>
  <c r="Y146"/>
  <c r="AA247"/>
  <c r="Y160"/>
  <c r="R265"/>
  <c r="W189"/>
  <c r="W234"/>
  <c r="W81"/>
  <c r="AB81" s="1"/>
  <c r="AF81" s="1"/>
  <c r="W54"/>
  <c r="W248"/>
  <c r="X52"/>
  <c r="AC52" s="1"/>
  <c r="X66"/>
  <c r="AC66" s="1"/>
  <c r="AF66" s="1"/>
  <c r="X79"/>
  <c r="AC79" s="1"/>
  <c r="AF79" s="1"/>
  <c r="X38"/>
  <c r="AC38" s="1"/>
  <c r="AF38" s="1"/>
  <c r="X137"/>
  <c r="AC137" s="1"/>
  <c r="X74"/>
  <c r="AC74" s="1"/>
  <c r="AA169"/>
  <c r="AA245"/>
  <c r="AF24"/>
  <c r="AA24"/>
  <c r="AA200"/>
  <c r="Y219"/>
  <c r="AA123"/>
  <c r="AA65"/>
  <c r="AD15"/>
  <c r="Y15"/>
  <c r="AF51"/>
  <c r="AA51"/>
  <c r="AA214"/>
  <c r="AA186"/>
  <c r="AA110"/>
  <c r="AA188"/>
  <c r="AA171"/>
  <c r="AA53"/>
  <c r="AA12"/>
  <c r="AA67"/>
  <c r="AA125"/>
  <c r="W42"/>
  <c r="AA8"/>
  <c r="AA80"/>
  <c r="AA244"/>
  <c r="AA215"/>
  <c r="AA108"/>
  <c r="AA202"/>
  <c r="AA98"/>
  <c r="AA167"/>
  <c r="AA22"/>
  <c r="AA217"/>
  <c r="AA63"/>
  <c r="AA39"/>
  <c r="AA213"/>
  <c r="AA121"/>
  <c r="AA184"/>
  <c r="W174" l="1"/>
  <c r="W83"/>
  <c r="AC95"/>
  <c r="AC259"/>
  <c r="S101"/>
  <c r="AC25"/>
  <c r="AC261" s="1"/>
  <c r="AA187"/>
  <c r="AC187"/>
  <c r="AF187" s="1"/>
  <c r="X261"/>
  <c r="AF68"/>
  <c r="AB70"/>
  <c r="AA126"/>
  <c r="AB126"/>
  <c r="W263"/>
  <c r="AB13"/>
  <c r="AB15" s="1"/>
  <c r="AA203"/>
  <c r="AB203"/>
  <c r="W146"/>
  <c r="AB144"/>
  <c r="AB261"/>
  <c r="AB97"/>
  <c r="AF11"/>
  <c r="AA54"/>
  <c r="AB54"/>
  <c r="AF54" s="1"/>
  <c r="W250"/>
  <c r="AB248"/>
  <c r="AB250" s="1"/>
  <c r="AA189"/>
  <c r="AB189"/>
  <c r="AF189" s="1"/>
  <c r="AB83"/>
  <c r="AB160"/>
  <c r="V99"/>
  <c r="W265"/>
  <c r="W236"/>
  <c r="AB234"/>
  <c r="AA113"/>
  <c r="AB113"/>
  <c r="AA40"/>
  <c r="AB40"/>
  <c r="AB259"/>
  <c r="AB95"/>
  <c r="AF9"/>
  <c r="X219"/>
  <c r="AC210"/>
  <c r="AC115"/>
  <c r="AC146"/>
  <c r="AC236"/>
  <c r="AC128"/>
  <c r="AC42"/>
  <c r="AC83"/>
  <c r="AC70"/>
  <c r="AC205"/>
  <c r="X256"/>
  <c r="AC6"/>
  <c r="X250"/>
  <c r="AC241"/>
  <c r="AC160"/>
  <c r="AC182"/>
  <c r="AE12"/>
  <c r="U98"/>
  <c r="V12"/>
  <c r="AA95"/>
  <c r="W70"/>
  <c r="W128"/>
  <c r="X97"/>
  <c r="X92"/>
  <c r="AA142"/>
  <c r="W115"/>
  <c r="AA13"/>
  <c r="W99"/>
  <c r="W56"/>
  <c r="W191"/>
  <c r="AA156"/>
  <c r="W160"/>
  <c r="AA158"/>
  <c r="AA144"/>
  <c r="AA111"/>
  <c r="AC15"/>
  <c r="X15"/>
  <c r="W29"/>
  <c r="AA170"/>
  <c r="AA97"/>
  <c r="AA66"/>
  <c r="AA79"/>
  <c r="AA38"/>
  <c r="AA25"/>
  <c r="X115"/>
  <c r="X29"/>
  <c r="AA11"/>
  <c r="AA201"/>
  <c r="AA246"/>
  <c r="X174"/>
  <c r="AA172"/>
  <c r="X160"/>
  <c r="AA68"/>
  <c r="X205"/>
  <c r="X146"/>
  <c r="AA81"/>
  <c r="AA27"/>
  <c r="X191"/>
  <c r="X236"/>
  <c r="X42"/>
  <c r="X128"/>
  <c r="W15"/>
  <c r="X56"/>
  <c r="X83"/>
  <c r="AA52"/>
  <c r="W205"/>
  <c r="AA124"/>
  <c r="X70"/>
  <c r="AB191"/>
  <c r="AF22"/>
  <c r="AF27"/>
  <c r="AF52"/>
  <c r="AC56"/>
  <c r="AB174"/>
  <c r="AA262"/>
  <c r="AF53"/>
  <c r="AC29" l="1"/>
  <c r="AF25"/>
  <c r="AC97"/>
  <c r="AF97" s="1"/>
  <c r="X101"/>
  <c r="AC102" s="1"/>
  <c r="AF144"/>
  <c r="AB146"/>
  <c r="AF40"/>
  <c r="AB42"/>
  <c r="AF234"/>
  <c r="AB236"/>
  <c r="AB99"/>
  <c r="AF99" s="1"/>
  <c r="AB263"/>
  <c r="AB265" s="1"/>
  <c r="AF13"/>
  <c r="AB101"/>
  <c r="AF95"/>
  <c r="AF113"/>
  <c r="AB115"/>
  <c r="AF203"/>
  <c r="AB205"/>
  <c r="AF126"/>
  <c r="AB128"/>
  <c r="AC250"/>
  <c r="AC219"/>
  <c r="AC92"/>
  <c r="AC256"/>
  <c r="AC265" s="1"/>
  <c r="AE98"/>
  <c r="AF12"/>
  <c r="V98"/>
  <c r="AB56"/>
  <c r="W101"/>
  <c r="AB102" s="1"/>
  <c r="AA99"/>
  <c r="X265"/>
  <c r="I29"/>
  <c r="J27" s="1"/>
  <c r="K27" s="1"/>
  <c r="AC101" l="1"/>
  <c r="AF98"/>
  <c r="J20"/>
  <c r="K20" s="1"/>
  <c r="J26"/>
  <c r="K26" s="1"/>
  <c r="J23"/>
  <c r="K23" s="1"/>
  <c r="J21"/>
  <c r="K21" s="1"/>
  <c r="J24"/>
  <c r="K24" s="1"/>
  <c r="J25"/>
  <c r="K25" s="1"/>
  <c r="AF28"/>
  <c r="J22"/>
  <c r="J29" l="1"/>
  <c r="K22"/>
  <c r="K29" s="1"/>
  <c r="J33"/>
  <c r="K33" s="1"/>
  <c r="AD56"/>
  <c r="J54"/>
  <c r="J56" s="1"/>
  <c r="K42" l="1"/>
  <c r="U33"/>
  <c r="K54"/>
  <c r="K56" s="1"/>
  <c r="J42"/>
  <c r="AF55"/>
  <c r="J65"/>
  <c r="J70" s="1"/>
  <c r="U256" l="1"/>
  <c r="U92"/>
  <c r="U42"/>
  <c r="V33"/>
  <c r="V42" s="1"/>
  <c r="K65"/>
  <c r="K70" s="1"/>
  <c r="J80"/>
  <c r="J83" s="1"/>
  <c r="V92" l="1"/>
  <c r="V101" s="1"/>
  <c r="U101"/>
  <c r="Z119"/>
  <c r="Z196"/>
  <c r="Z106"/>
  <c r="Z20"/>
  <c r="Z47"/>
  <c r="Z61"/>
  <c r="Z241"/>
  <c r="Z6"/>
  <c r="Z74"/>
  <c r="Z151"/>
  <c r="Z182"/>
  <c r="Z165"/>
  <c r="Z137"/>
  <c r="Z210"/>
  <c r="Z33"/>
  <c r="K80"/>
  <c r="K83" s="1"/>
  <c r="K120"/>
  <c r="K128" s="1"/>
  <c r="AE182" l="1"/>
  <c r="AF182" s="1"/>
  <c r="Z191"/>
  <c r="AA191" s="1"/>
  <c r="AA182"/>
  <c r="AE106"/>
  <c r="Z115"/>
  <c r="AA115" s="1"/>
  <c r="AA106"/>
  <c r="AE6"/>
  <c r="Z92"/>
  <c r="Z15"/>
  <c r="AA15" s="1"/>
  <c r="AA6"/>
  <c r="Z42"/>
  <c r="AA42" s="1"/>
  <c r="AA33"/>
  <c r="AE33"/>
  <c r="AE74"/>
  <c r="Z83"/>
  <c r="AA83" s="1"/>
  <c r="AA74"/>
  <c r="AE47"/>
  <c r="AA47"/>
  <c r="Z56"/>
  <c r="AA56" s="1"/>
  <c r="AE119"/>
  <c r="Z128"/>
  <c r="AA128" s="1"/>
  <c r="AA119"/>
  <c r="AE241"/>
  <c r="AF241" s="1"/>
  <c r="AA241"/>
  <c r="AE165"/>
  <c r="AF165" s="1"/>
  <c r="Z174"/>
  <c r="AA174" s="1"/>
  <c r="AA165"/>
  <c r="AE20"/>
  <c r="Z29"/>
  <c r="AA29" s="1"/>
  <c r="AA20"/>
  <c r="AE137"/>
  <c r="Z146"/>
  <c r="AA146" s="1"/>
  <c r="AA137"/>
  <c r="AE210"/>
  <c r="Z219"/>
  <c r="AA219" s="1"/>
  <c r="AA210"/>
  <c r="AE151"/>
  <c r="Z160"/>
  <c r="AA160" s="1"/>
  <c r="AA151"/>
  <c r="AE61"/>
  <c r="Z70"/>
  <c r="AA70" s="1"/>
  <c r="AA61"/>
  <c r="AE196"/>
  <c r="Z205"/>
  <c r="AA205" s="1"/>
  <c r="AA196"/>
  <c r="J128"/>
  <c r="K160"/>
  <c r="AC174"/>
  <c r="AE174"/>
  <c r="AD174"/>
  <c r="AC191"/>
  <c r="AE191"/>
  <c r="AD191"/>
  <c r="AF210" l="1"/>
  <c r="AE83"/>
  <c r="AF74"/>
  <c r="AF83" s="1"/>
  <c r="AF6"/>
  <c r="AE92"/>
  <c r="AE15"/>
  <c r="AF15" s="1"/>
  <c r="AE146"/>
  <c r="AF137"/>
  <c r="AF146" s="1"/>
  <c r="AE205"/>
  <c r="AF205" s="1"/>
  <c r="AF196"/>
  <c r="AE70"/>
  <c r="AF61"/>
  <c r="AF70" s="1"/>
  <c r="AE29"/>
  <c r="AF20"/>
  <c r="AF29" s="1"/>
  <c r="AE128"/>
  <c r="AF119"/>
  <c r="AF128" s="1"/>
  <c r="Z101"/>
  <c r="AA92"/>
  <c r="AE160"/>
  <c r="AF151"/>
  <c r="AF160" s="1"/>
  <c r="AF47"/>
  <c r="AE56"/>
  <c r="AF56" s="1"/>
  <c r="AE42"/>
  <c r="AF33"/>
  <c r="AF42" s="1"/>
  <c r="AE115"/>
  <c r="AF106"/>
  <c r="AF115" s="1"/>
  <c r="AF174"/>
  <c r="AF191"/>
  <c r="J160"/>
  <c r="J202"/>
  <c r="J197"/>
  <c r="K197" s="1"/>
  <c r="AA101" l="1"/>
  <c r="AF102" s="1"/>
  <c r="AE102"/>
  <c r="AE101"/>
  <c r="AF92"/>
  <c r="AF101" s="1"/>
  <c r="K202"/>
  <c r="K205" s="1"/>
  <c r="J205"/>
  <c r="J216"/>
  <c r="I236"/>
  <c r="J233" s="1"/>
  <c r="K233" s="1"/>
  <c r="H461"/>
  <c r="I461" s="1"/>
  <c r="J461" s="1"/>
  <c r="J273"/>
  <c r="J292" s="1"/>
  <c r="R442"/>
  <c r="S442"/>
  <c r="T442"/>
  <c r="U442"/>
  <c r="V233" l="1"/>
  <c r="K216"/>
  <c r="U216" s="1"/>
  <c r="J219"/>
  <c r="J229"/>
  <c r="K229" s="1"/>
  <c r="J234"/>
  <c r="K234" s="1"/>
  <c r="J231"/>
  <c r="K231" s="1"/>
  <c r="J232"/>
  <c r="K232" s="1"/>
  <c r="J227"/>
  <c r="K227" s="1"/>
  <c r="J228"/>
  <c r="K228" s="1"/>
  <c r="J230"/>
  <c r="K230" s="1"/>
  <c r="K273"/>
  <c r="K292" s="1"/>
  <c r="K248"/>
  <c r="V442"/>
  <c r="K461"/>
  <c r="R341"/>
  <c r="S341"/>
  <c r="U341"/>
  <c r="T341"/>
  <c r="AE216" l="1"/>
  <c r="U262"/>
  <c r="K250"/>
  <c r="U250" s="1"/>
  <c r="U248"/>
  <c r="V228"/>
  <c r="V231"/>
  <c r="V232"/>
  <c r="V230"/>
  <c r="V227"/>
  <c r="Z227"/>
  <c r="V229"/>
  <c r="V234"/>
  <c r="K219"/>
  <c r="J236"/>
  <c r="V341"/>
  <c r="R413"/>
  <c r="S413"/>
  <c r="T413"/>
  <c r="U413"/>
  <c r="AF216" l="1"/>
  <c r="AF219" s="1"/>
  <c r="AE262"/>
  <c r="AE219"/>
  <c r="V262"/>
  <c r="AE227"/>
  <c r="Z256"/>
  <c r="Z248"/>
  <c r="V248"/>
  <c r="V250" s="1"/>
  <c r="V236"/>
  <c r="AA231"/>
  <c r="Z236"/>
  <c r="AA236" s="1"/>
  <c r="AA227"/>
  <c r="AA234"/>
  <c r="AA230"/>
  <c r="AA229"/>
  <c r="AA232"/>
  <c r="V216"/>
  <c r="V219" s="1"/>
  <c r="U219"/>
  <c r="V413"/>
  <c r="K236"/>
  <c r="AF262" l="1"/>
  <c r="AE236"/>
  <c r="AF227"/>
  <c r="AF236" s="1"/>
  <c r="AE256"/>
  <c r="Z250"/>
  <c r="AA250" s="1"/>
  <c r="AE248"/>
  <c r="Z263"/>
  <c r="AA248"/>
  <c r="AA259"/>
  <c r="AF259" s="1"/>
  <c r="AA256"/>
  <c r="AF256" s="1"/>
  <c r="AA260"/>
  <c r="AF260" s="1"/>
  <c r="AA258"/>
  <c r="AF258" s="1"/>
  <c r="AA261"/>
  <c r="AF261" s="1"/>
  <c r="T485"/>
  <c r="U485"/>
  <c r="S485"/>
  <c r="AF248" l="1"/>
  <c r="AF250" s="1"/>
  <c r="AE250"/>
  <c r="AE263"/>
  <c r="AE265" s="1"/>
  <c r="Z265"/>
  <c r="AA265" s="1"/>
  <c r="AA263"/>
  <c r="AF263" s="1"/>
  <c r="AF265" s="1"/>
  <c r="H9" i="16"/>
  <c r="G9"/>
  <c r="F9"/>
  <c r="F21" l="1"/>
  <c r="G21" l="1"/>
  <c r="H21" l="1"/>
  <c r="J6" i="20" l="1"/>
  <c r="J5" s="1"/>
  <c r="J4" s="1"/>
  <c r="I5"/>
  <c r="H5"/>
  <c r="H4" s="1"/>
  <c r="G5"/>
  <c r="G4" s="1"/>
  <c r="E4"/>
  <c r="E46" s="1"/>
  <c r="I4"/>
  <c r="D4"/>
  <c r="D46" s="1"/>
  <c r="J17"/>
  <c r="J16" s="1"/>
  <c r="J8" s="1"/>
  <c r="K4" l="1"/>
  <c r="K17"/>
  <c r="L5"/>
  <c r="K6"/>
  <c r="K5"/>
  <c r="K16"/>
  <c r="K8"/>
  <c r="L4" l="1"/>
  <c r="J9" i="21"/>
  <c r="K9" s="1"/>
  <c r="L9"/>
  <c r="L8"/>
  <c r="J8"/>
  <c r="K17"/>
  <c r="K8" l="1"/>
  <c r="J25"/>
  <c r="J35"/>
  <c r="K35" s="1"/>
  <c r="L35"/>
  <c r="L38" l="1"/>
  <c r="K25"/>
  <c r="J16"/>
  <c r="K16" s="1"/>
  <c r="J38"/>
  <c r="K38" s="1"/>
  <c r="L34"/>
  <c r="J34"/>
  <c r="J46" s="1"/>
  <c r="K34" l="1"/>
  <c r="J38" i="8"/>
  <c r="H18" i="4"/>
  <c r="H21"/>
  <c r="H19"/>
  <c r="H20"/>
  <c r="H22"/>
</calcChain>
</file>

<file path=xl/comments1.xml><?xml version="1.0" encoding="utf-8"?>
<comments xmlns="http://schemas.openxmlformats.org/spreadsheetml/2006/main">
  <authors>
    <author>COM02</author>
  </authors>
  <commentList>
    <comment ref="D4" authorId="0">
      <text>
        <r>
          <rPr>
            <b/>
            <sz val="9"/>
            <color indexed="81"/>
            <rFont val="Tahoma"/>
            <family val="2"/>
          </rPr>
          <t>COM02:</t>
        </r>
        <r>
          <rPr>
            <sz val="9"/>
            <color indexed="81"/>
            <rFont val="Tahoma"/>
            <family val="2"/>
          </rPr>
          <t xml:space="preserve">
เอกสารจัดสรรงปม.รายจ่ายประจำปีงปม.2559 (1 ต.ค.58)กองนโยบายและแผน เล่มสีเหลือง</t>
        </r>
      </text>
    </comment>
  </commentList>
</comments>
</file>

<file path=xl/sharedStrings.xml><?xml version="1.0" encoding="utf-8"?>
<sst xmlns="http://schemas.openxmlformats.org/spreadsheetml/2006/main" count="2173" uniqueCount="527">
  <si>
    <t>รูปแบบรายงานต้นทุนผลผลิต</t>
  </si>
  <si>
    <t>รายได้</t>
  </si>
  <si>
    <t>รายได้จากรัฐบาล</t>
  </si>
  <si>
    <t>รายได้จากเงินช่วยเหลือและเงินบริจาค</t>
  </si>
  <si>
    <t>รายได้รวม</t>
  </si>
  <si>
    <t>ประเภทค่าใช้จ่าย</t>
  </si>
  <si>
    <t>เงินในงบประมาณ</t>
  </si>
  <si>
    <t>เงินนอกงบประมาณ</t>
  </si>
  <si>
    <t>รวม</t>
  </si>
  <si>
    <t>ชื่อกิจกรรม</t>
  </si>
  <si>
    <t>งบกลาง</t>
  </si>
  <si>
    <t>ค่าเสื่อมราคา</t>
  </si>
  <si>
    <t>ต้นทุนรวม</t>
  </si>
  <si>
    <t>ปริมาณ</t>
  </si>
  <si>
    <t>ต้นทุนต่อหน่วย</t>
  </si>
  <si>
    <t>รายได้สูง (ต่ำ) กว่าค่าใช้จ่ายสะสม</t>
  </si>
  <si>
    <t>ชื่อผลผลิต</t>
  </si>
  <si>
    <t>1. ผู้สำเร็จการศึกษาด้านสังคมศาสตร์</t>
  </si>
  <si>
    <t xml:space="preserve">รูปแบบรายงานต้นทุนผลผลิต </t>
  </si>
  <si>
    <t>4. ผลงานทำนุบำรุงศิลปวัฒนธรรม</t>
  </si>
  <si>
    <t>5. ผลงานวิจัยเพื่อถ่ายทอดเทคโนโลยี</t>
  </si>
  <si>
    <t>6. ผลงานวิจัยเพื่อสร้างองค์ความรู้</t>
  </si>
  <si>
    <t>โครงการ</t>
  </si>
  <si>
    <t>งบกลาง (ถ้ามี)</t>
  </si>
  <si>
    <t xml:space="preserve">     -  กลุ่มสาขาวิชาวิศวกรรมศาสตร์</t>
  </si>
  <si>
    <t xml:space="preserve">     -  กลุ่มสาขาวิชาวิทยาศาสตร์กายภาพ</t>
  </si>
  <si>
    <t xml:space="preserve">     -  กลุ่มสาขาวิชาเกษตรศาสตร์</t>
  </si>
  <si>
    <t xml:space="preserve">     -  กลุ่มสาขาวิชาสังคมศาสตร์</t>
  </si>
  <si>
    <t xml:space="preserve">     -  กลุ่มสาขาวิชาสถาปัตยกรรมศาสตร์</t>
  </si>
  <si>
    <t xml:space="preserve">     -  กลุ่มสาขาวิชาบริหารธุรกิจ</t>
  </si>
  <si>
    <t>ต้นทุนต่อหน่วย
เพิ่ม(ลด) %</t>
  </si>
  <si>
    <t>หน่วยนับ
เพิ่ม(ลด) %</t>
  </si>
  <si>
    <t>ต้นทุนรวม
เพิ่ม(ลด) %</t>
  </si>
  <si>
    <t>ผลการเปรียบเทียบ</t>
  </si>
  <si>
    <t>2. ผู้สำเร็จการศึกษาด้านวิทยาศาสตร์และเทคโนโลยี</t>
  </si>
  <si>
    <t>หน่วย : บาท</t>
  </si>
  <si>
    <t>3. ผลงานการให้บริการวิชาการ</t>
  </si>
  <si>
    <t>รายงานเปรียบเทียบต้นทุนต่อหน่วยผลผลิต</t>
  </si>
  <si>
    <t>มหาวิทยาลัยเทคโนโลยีราชมงคลศรีวิชัย</t>
  </si>
  <si>
    <t xml:space="preserve">มหาวิทยาลัยเทคโนโลยีราชมงคลศรีวิชัย </t>
  </si>
  <si>
    <t>ผลผลิตด้านการเรียนการสอน</t>
  </si>
  <si>
    <t>FTES</t>
  </si>
  <si>
    <t>งปม.</t>
  </si>
  <si>
    <t>นอกงปม.</t>
  </si>
  <si>
    <t>รวมต้นทุน</t>
  </si>
  <si>
    <t>กลุ่มสาขาวิชาบริหารธุรกิจ</t>
  </si>
  <si>
    <t>คณะบริหารธุรกิจ</t>
  </si>
  <si>
    <t>คณะเทคโนโลยีการจัดการ</t>
  </si>
  <si>
    <t>กลุ่มสาขาวิชาสถาปัตยกรรมศาสตร์</t>
  </si>
  <si>
    <t>คณะสถาปัตยกรรมศาสตร์</t>
  </si>
  <si>
    <t>กลุ่มสาขาวิชาสังคมศาสตร์</t>
  </si>
  <si>
    <t>คณะศิลปศาสตร์</t>
  </si>
  <si>
    <t>กลุ่มสาขาวิชาเกษตรศาสตร์</t>
  </si>
  <si>
    <t>คณะอุตสาหกรรมเกษตร</t>
  </si>
  <si>
    <t>คณะเกษตรศาสตร์</t>
  </si>
  <si>
    <t>กลุ่มสาขาวิชาวิทยาศาสตร์กายภาพ</t>
  </si>
  <si>
    <t>คณะวิทยาศาสตร์และเทคโนโลยี</t>
  </si>
  <si>
    <t>คณะวิทยาศาสตร์และเทคโนโลยีการประมง</t>
  </si>
  <si>
    <t>กลุ่มสาขาวิชาวิศวกรรมศาสตร์</t>
  </si>
  <si>
    <t>คณะวิศวกรรมศาสตร์</t>
  </si>
  <si>
    <t>คณะครุศาสตร์อุตสาหกรรมและเทคโนโลยี</t>
  </si>
  <si>
    <t>วิทยาลัยเทคโนโลยีอุตสาหกรรมและการจัดการ</t>
  </si>
  <si>
    <t>วิทยาลัยรัตภูมิ</t>
  </si>
  <si>
    <t>รวมทั้งสิ้น</t>
  </si>
  <si>
    <t>1. ค่าใช้จ่ายด้านบุคลากร</t>
  </si>
  <si>
    <t xml:space="preserve">รายได้อื่น </t>
  </si>
  <si>
    <t>ที่</t>
  </si>
  <si>
    <t xml:space="preserve"> *  รายได้จากรัฐบาลรวมงบลงทุน</t>
  </si>
  <si>
    <t xml:space="preserve"> * ข้อมูลรวมงบลงทุน</t>
  </si>
  <si>
    <t>หมายเหตุ</t>
  </si>
  <si>
    <t>คณะสัตวแพทย์ศาสตร์</t>
  </si>
  <si>
    <t>วิทยาลัยการโรงแรมและท่องเที่ยว</t>
  </si>
  <si>
    <t>รหัสหน่วยเบิกจ่าย........2017100000 - 2017100005..........</t>
  </si>
  <si>
    <t>ชื่อหน่วยงาน</t>
  </si>
  <si>
    <t>ค่าใช้จ่ายด้านบุคลากร</t>
  </si>
  <si>
    <t>ค่าใช้จ่ายเงินอุดหนุน</t>
  </si>
  <si>
    <t>ค่าใช้จ่ายอื่น ๆ</t>
  </si>
  <si>
    <t>ค่าเสื่อมราคาและค่าตัดจำหน่าย</t>
  </si>
  <si>
    <t>รวมคชจ.</t>
  </si>
  <si>
    <t xml:space="preserve"> หน่วยงานหลัก </t>
  </si>
  <si>
    <t xml:space="preserve"> 1. คณะวิศวกรรมศาสตร์ (สงขลา) </t>
  </si>
  <si>
    <t xml:space="preserve"> 2. คณะบริหารธุรกิจ (สงขลา) </t>
  </si>
  <si>
    <t xml:space="preserve"> 3.  คณะศิลปศาสตร์ (สงขลา)</t>
  </si>
  <si>
    <t xml:space="preserve"> 4. คณะสถาปัตยกรรมศาสตร์ (สงขลา) </t>
  </si>
  <si>
    <t xml:space="preserve"> 5. คณะครุศาสตร์อุตสาหกรรมและเทคโนโลยี (สงขลา)</t>
  </si>
  <si>
    <t xml:space="preserve"> 6. วิทยาลัยรัตภูมิ (สงขลา) </t>
  </si>
  <si>
    <t xml:space="preserve"> 7. คณะวิทยาศาสตร์และเทคโนโลยี (ทุ่งใหญ่) </t>
  </si>
  <si>
    <t xml:space="preserve"> 7. คณะวิทยาศาสตร์และเทคโนโลยี (ไสใหญ่) </t>
  </si>
  <si>
    <t xml:space="preserve"> 8. คณะเกษตรศาสตร์ (ทุ่งใหญ่) </t>
  </si>
  <si>
    <t xml:space="preserve"> 8. คณะเกษตรศาสตร์ (ไสใหญ่) </t>
  </si>
  <si>
    <t xml:space="preserve"> 9. คณะอุตสาหกรรมเกษตร (ทุ่งใหญ่) </t>
  </si>
  <si>
    <t xml:space="preserve"> 10. คณะสัตวแพทย์ศาสตร์ (ทุ่งใหญ่) </t>
  </si>
  <si>
    <t xml:space="preserve"> 11. คณะเทคโนโลยีการจัดการ (ไสใหญ่) </t>
  </si>
  <si>
    <t xml:space="preserve"> 12. คณะวิทยาศาสตร์และเทคโนโลยีการประมง (ตรัง) </t>
  </si>
  <si>
    <t xml:space="preserve"> 13. วิทยาลัยการโรงแรมและการท่องเที่ยว (ตรัง) </t>
  </si>
  <si>
    <t xml:space="preserve"> 14. วิทยาลัยเทคโนโลยีอุตสาหกรรมและการจัดการ (ขนอม) </t>
  </si>
  <si>
    <t xml:space="preserve"> หน่วยงานสนับสนุน </t>
  </si>
  <si>
    <t xml:space="preserve"> 1. สำนักงานอธิการบดี </t>
  </si>
  <si>
    <t xml:space="preserve"> 3. สำนักงานวิทยาเขตนครศรีธรรมราช (ไสใหญ่) </t>
  </si>
  <si>
    <t xml:space="preserve"> 4. สำนักงานวิทยาเขตนครศรีธรรมราช (ทุ่งใหญ่) </t>
  </si>
  <si>
    <t xml:space="preserve"> 5. สำนักงานวิทยาเขตตรัง </t>
  </si>
  <si>
    <t xml:space="preserve"> 6. สถาบันวิจัยและพัฒนา  (ตรัง)</t>
  </si>
  <si>
    <t xml:space="preserve"> 2. ส่วนกลางสงขลา  </t>
  </si>
  <si>
    <t xml:space="preserve">     -  กลุ่มสาขาวิชาวิทยาศาสตร์สุขภาพ</t>
  </si>
  <si>
    <t xml:space="preserve">     -  กลุ่มสาขาวิชาครุศาสตร์</t>
  </si>
  <si>
    <t>จำนวน นศ.</t>
  </si>
  <si>
    <t>***  หน่วยนับด้านการเรียนการสอนตามเกณฑ์ของกรมบัญชีกลางใช้ค่า FTES  เพื่อเป็นมาตรฐานเดียวกันในสถาบันอุดมศึกษา สามารถเปรียบเทียบต้นทุนผลผลิตด้านการเรียนการสอนในประเภทมหาวิทยาลัยเดียวกันได้</t>
  </si>
  <si>
    <t>*   ระดับปริญญาโทไม่สามารถแยกค่าใช้จ่ายได้จึงใช้วิธีการปันส่วนโดยใช้ค่า FTES</t>
  </si>
  <si>
    <t>**  คณะที่มีผลผลิตทั้งทางด้านวิทยาศาสตร์และเทคโนโลยี และด้านสังคมศาสตร์  กำหนดให้มีผลผลิตเพียงด้านใดด้านหนึ่งตามกรมบัญชีกลาง โดยแบ่งกลุ่มสาขาวิชาตามสมศ.</t>
  </si>
  <si>
    <t>รายได้จากรัฐบาล *</t>
  </si>
  <si>
    <t>รายได้จากการขายสินค้าและบริการ 
(เงินนอกงบประมาณ)</t>
  </si>
  <si>
    <t>ผู้สำเร็จการศึกษาด้านสังคมศาสตร์</t>
  </si>
  <si>
    <t>ผู้สำเร็จการศึกษาด้านวิทยาศาสตร์และเทคโนโลยี</t>
  </si>
  <si>
    <t>2. ค่าใช้จ่ายด้านการฝึกอบรม</t>
  </si>
  <si>
    <t>3. ค่าใช้จ่ายในการเดินทาง</t>
  </si>
  <si>
    <t>4. ค่าตอบแทน ใช้สอย และวัสดุ</t>
  </si>
  <si>
    <t>5. ค่าเสื่อมราคาและค่าตัดจำหน่าย</t>
  </si>
  <si>
    <t>6. ค่าใช้จ่ายเงินอุดหนุน</t>
  </si>
  <si>
    <t>7. ค่าใช้จ่ายอื่น ๆ</t>
  </si>
  <si>
    <t>4. การจัดการเรียนการสอนกลุ่มสาขาวิชาวิศวกรรมศาสตร์ ระดับปวส.</t>
  </si>
  <si>
    <t>5. การจัดการเรียนการสอนกลุ่มสาขาวิชาวิศวกรรมศาสตร์ ระดับปริญญาตรี</t>
  </si>
  <si>
    <t>6. การจัดการเรียนการสอนกลุ่มสาขาวิชาวิศวกรรมศาสตร์ ระดับปริญญาโท</t>
  </si>
  <si>
    <t>7. การจัดการเรียนการสอนกลุ่มสาขาวิชาเกษตรศาสตร์ ระดับปริญญาตรี</t>
  </si>
  <si>
    <t>8. การจัดการเรียนการสอนกลุ่มสาขาวิชาเกษตรศาสตร์ ระดับปริญญาโท</t>
  </si>
  <si>
    <t>9. การจัดการเรียนการสอนกลุ่มสาขาวิชาวิทยาศาสตร์กายภาพ ระดับปริญญาตรี</t>
  </si>
  <si>
    <t>10. การจัดการเรียนการสอนกลุ่มสาขาวิชาวิทยาศาสตร์กายภาพ ระดับปริญญาโท</t>
  </si>
  <si>
    <t>11. การจัดการเรียนการสอนกลุ่มสาขาวิชาวิทยาศาสตร์สุขภาพ ระดับปริญญาตรี</t>
  </si>
  <si>
    <t>12. การจัดการเรียนการสอนกลุ่มสาขาวิชาครุศาสตร์ ระดับปริญญาตรี</t>
  </si>
  <si>
    <t>13. การจัดการเรียนการสอนกลุ่มสาขาวิชาสถาปัตยกรรมศาสตร์ ระดับปริญญาตรี</t>
  </si>
  <si>
    <t>14. จัดอบรมและสัมมนาเชิงวิชาการหรือปฏิบัติการ</t>
  </si>
  <si>
    <t>15. ส่งเสริมและทำนุบำรุงศิลปวัฒนธรรม</t>
  </si>
  <si>
    <t>16. ดำเนินการวิจัยเพื่อถ่ายทอดเทคโนโลยี</t>
  </si>
  <si>
    <t>17. ดำเนินการวิจัยเพื่อสร้างองค์ความรู้</t>
  </si>
  <si>
    <t>ระดับปริญญาตรี</t>
  </si>
  <si>
    <t>ระดับปริญญาโท</t>
  </si>
  <si>
    <t>ระดับประกาศนียบัตรวิชาชีพชั้นสูง (ปวส.)</t>
  </si>
  <si>
    <t>4. ค่าใช้จ่ายตอบแทน ใช้สอย และวัสดุ</t>
  </si>
  <si>
    <t>5.  ค่าเสื่อมราคาและค่าตัดจำหน่าย</t>
  </si>
  <si>
    <t>ค่าใช้จ่ายด้านการฝึกอบรม</t>
  </si>
  <si>
    <t>ค่าใช้จ่ายในการเดินทาง</t>
  </si>
  <si>
    <t>ค่าตอบแทน ใช้สอย และวัสดุ</t>
  </si>
  <si>
    <t>18. การพัฒนาการศึกษาในเขตพัฒนาพิเศษเฉพาะกิจจังหวัดชายแดนภาคใต้</t>
  </si>
  <si>
    <t>รายได้อื่นที่ไม่เกิดจากการดำเนินงาน</t>
  </si>
  <si>
    <t>1. ฟาร์ม (ทุ่งใหญ่)</t>
  </si>
  <si>
    <t>2. หอพัก (ทุ่งใหญ่)</t>
  </si>
  <si>
    <t>3 โรงพยาบาลสัตว์ (ทุ่งใหญ่)</t>
  </si>
  <si>
    <t>5. ฟาร์ม (ตรัง)</t>
  </si>
  <si>
    <t>6. หอพัก (ตรัง)</t>
  </si>
  <si>
    <t>7. ฟาร์ม (ไสใหญ่)</t>
  </si>
  <si>
    <t>8. หอพัก (ไสใหญ่)</t>
  </si>
  <si>
    <t>9. หอพัก (ขนอม)</t>
  </si>
  <si>
    <t xml:space="preserve"> 7. สถาบันทรัพยากรธรรมชาติและสิ่งแวดล้อม (ตรัง)</t>
  </si>
  <si>
    <t xml:space="preserve">คณะบริหารธุรกิจ </t>
  </si>
  <si>
    <t xml:space="preserve">คณะเกษตรศาสตร์ </t>
  </si>
  <si>
    <t xml:space="preserve">วิทยาลัยรัตภูมิ </t>
  </si>
  <si>
    <t>กลุ่มสาขาวิชาวิทยาศาสตร์สุขภาพ</t>
  </si>
  <si>
    <t>กลุ่มสาขาวิชาครุศาสตร์</t>
  </si>
  <si>
    <t>รวทั้งสิ้น</t>
  </si>
  <si>
    <t>ต้นทุนต่อหน่วย
(FTES)</t>
  </si>
  <si>
    <t>จำนวนเอกสารรายการ</t>
  </si>
  <si>
    <t>จำนวนบุคลากร</t>
  </si>
  <si>
    <t>ด้าน</t>
  </si>
  <si>
    <t>จำนวนนักศึกษา</t>
  </si>
  <si>
    <t>7. การพัฒนาการศึกษาในเขตพัฒนาพิเศษเฉพาะกิจ
จังหวัดชายแดนภาคใต้</t>
  </si>
  <si>
    <t xml:space="preserve">เพิ่ม (ลด)% </t>
  </si>
  <si>
    <t>1. คณะที่มีกิจกรรมการเรียนการสอนทั้งทางด้านวิทยาศาสตร์และเทคโนโลยี และด้านสังคมศาสตร์  กำหนดให้มีกิจกรรมเพียงด้านใดด้านหนึ่งตามกรมบัญชีกลาง โดยแบ่งกลุ่มสาขาวิชาตามสมศ.</t>
  </si>
  <si>
    <t>เพิ่ม (ลด) %</t>
  </si>
  <si>
    <t>เงินช่วยการศึกษาบุตร</t>
  </si>
  <si>
    <t>บำนาญปกติ</t>
  </si>
  <si>
    <t>เงินช่วยเหลือรายเดือนผู้รับเบี้ยหวัดบำนาญ</t>
  </si>
  <si>
    <t>เงินช่วยเหลือค่าครองชีพผู้รับเบี้ยหวัดบำนาญ</t>
  </si>
  <si>
    <t>เงินบำเหน็จตกทอด</t>
  </si>
  <si>
    <t>เงินบำเหน็จดำรงชีพ</t>
  </si>
  <si>
    <t>เงินบำเหน็จรายเดือนสำหรับการเบิกเงินบำเหน็จลูกจ้าง</t>
  </si>
  <si>
    <t>ค่ารักษาพยาบาลผู้ป่วยนอก-รัฐ -เบี้ยหวัด/บำนาญ</t>
  </si>
  <si>
    <t>ค่ารักษาพยาบาลผู้ป่วยใน-รัฐ -เบี้ยหวัด/บำนาญ</t>
  </si>
  <si>
    <t>ค่ารักษาพยาบาลผู้ป่วยใน-รพ.เอกชน-เบี้ยหวัด/บำนาญ</t>
  </si>
  <si>
    <t>TE-หน่วยงานส่งเงินเบิกเกินส่งคืนให้กรมบัญชีกลาง</t>
  </si>
  <si>
    <t>TE-หน่วยงานโอนเงินรายได้แผ่นดินให้กรมบัญชีกลาง</t>
  </si>
  <si>
    <t>TE-ปรับเงินฝากคลัง</t>
  </si>
  <si>
    <t>TE-หน่วยงานโอนเงินนอกงบประมาณให้ส่วนราชการ</t>
  </si>
  <si>
    <t>TE-หน่วยงานโอนเงินภายในกรมเดียวกัน</t>
  </si>
  <si>
    <t>รวมทุกหน่วยงาน</t>
  </si>
  <si>
    <t>ต้นทุนต่อหน่วย
ไม่คิดค่าเสื่อม</t>
  </si>
  <si>
    <t>1. การจัดการเรียนการสอนกลุ่มสาขาวิชาบริหารธุรกิจ - ระดับปริญญาตรี</t>
  </si>
  <si>
    <t>2. การจัดการเรียนการสอนกลุ่มสาขาวิชาบริหารธุรกิจ -  ระดับปริญญาโท</t>
  </si>
  <si>
    <t>3. การจัดการเรียนการสอนกลุ่มสาขาวิชาสังคมศาสตร์ -  ระดับปริญญาตรี</t>
  </si>
  <si>
    <t>19.การเตรียมความพร้อมเข้าสู่ประชาคมอาเซียน</t>
  </si>
  <si>
    <t>21. กิจกรรมด้านการคลัง</t>
  </si>
  <si>
    <t>22. กิจกรรมด้านบริหารบุคลากร</t>
  </si>
  <si>
    <t>23. กิจกรรมด้านนโยบายและแผน</t>
  </si>
  <si>
    <t>24. กิจกรรมด้านการพัฒนานักศึกษา</t>
  </si>
  <si>
    <t>25. กิจกรรมด้านพัฒนาระบบบริหารราชการ</t>
  </si>
  <si>
    <t>26. กิจกรรมด้านการประชาสัมพันธ์</t>
  </si>
  <si>
    <t>28. กิจกรรมด้านเทคโนโลยีสารสนเทศ</t>
  </si>
  <si>
    <t>29. กิจกรรมด้านการจัดการทรัพยากรธรรมชาติและสิ่งแวดล้อม</t>
  </si>
  <si>
    <t>30. กิจกรรมด้านงานทะเบียน</t>
  </si>
  <si>
    <t>27. กิจกรรมด้านยานพาหนะและอาคารสถานที่</t>
  </si>
  <si>
    <t>20.กิจกรรมด้านบริหาร</t>
  </si>
  <si>
    <t>8.การเตรียมความพร้อมเข้าสู่อาเซียน</t>
  </si>
  <si>
    <t>8.การเตรียมความพร้อมเข้าสู่ประชาคมอาเซียน</t>
  </si>
  <si>
    <t xml:space="preserve">               ค่าใช้จ่ายรวม</t>
  </si>
  <si>
    <t>ปีงบประมาณ 2558</t>
  </si>
  <si>
    <t>หน่วยงานหลัก</t>
  </si>
  <si>
    <t>วิทย์</t>
  </si>
  <si>
    <t>1. คณะวิศวกรรมศาสตร์ (สงขลา)</t>
  </si>
  <si>
    <t>เงินงปม.</t>
  </si>
  <si>
    <t>เงินนอกงปม.</t>
  </si>
  <si>
    <t xml:space="preserve"> ต้นทุนรวม</t>
  </si>
  <si>
    <t>จัดการเรียนการสอนด้านสังคมศาสตร์</t>
  </si>
  <si>
    <t>จัดการเรียนการสอนด้านวิทยาศาสตร์และเทคโนโลยี</t>
  </si>
  <si>
    <t>จัดอบรมและสัมมนาเชิงวิชาการหรือปฏิบัติการ</t>
  </si>
  <si>
    <t>ส่งเสริมและทำนุบำรุงศิลปวัฒนธรรม</t>
  </si>
  <si>
    <t>ดำเนินการวิจัยและถ่ายทอดเทคโนโลยี</t>
  </si>
  <si>
    <t>ดำเนินการวิจัยเพื่อสร้างองค์ความรู้</t>
  </si>
  <si>
    <t>การเตรียมความพร้อเข้าสู่ประชาคมอาเซียน</t>
  </si>
  <si>
    <t>**ค่าใช้จ่ายที่ไม่สามารถระบุกิจกรรมได้จะต้องใช้เกณฑ์ปันส่วน</t>
  </si>
  <si>
    <t>สังคม</t>
  </si>
  <si>
    <t>2. คณะบริหารธุรกิจ (สงขลา)</t>
  </si>
  <si>
    <t>การเตรียมความพร้อมเข้าสู่ประชาคมอาเซียน</t>
  </si>
  <si>
    <t>3. คณะศิลปศาสตร์ (สงขลา)</t>
  </si>
  <si>
    <t>4. คณะสถาปัตยกรรมศาสตร์ (สงขลา)</t>
  </si>
  <si>
    <t>5. คณะครุศาสตร์อุตสาหกรรมและเทคโนโลยี (สงขลา)</t>
  </si>
  <si>
    <t>6. วิทยาลัยรัตภูมิ (สงขลา)</t>
  </si>
  <si>
    <t>7. คณะวิทยาศาสตร์และเทคโนโลยี (ทุ่งใหญ่)</t>
  </si>
  <si>
    <t>7. คณะวิทยาศาสตร์และเทคโนโลยี (ไสใหญ่)</t>
  </si>
  <si>
    <t>8. คณะเกษตรศาสตร์ (ทุ่งใหญ่)</t>
  </si>
  <si>
    <t>8. คณะเกษตรศาสตร์ (ไสใหญ่)</t>
  </si>
  <si>
    <t>9. คณะอุตสาหกรรมเกษตร (ทุ่งใหญ่)</t>
  </si>
  <si>
    <t>10. คณะสัตวแพทย์ศาสตร์ (ทุ่งใหญ่)</t>
  </si>
  <si>
    <t>11. คณะเทคโนโลยีการจัดการ (ไสใหญ่)</t>
  </si>
  <si>
    <t>12. คณะวิทยาศาสตร์และเทคโนโลยีการประมง (ตรัง)</t>
  </si>
  <si>
    <t>วิทยาลัยการโรงแรมและการท่องเที่ยว (ตรัง)</t>
  </si>
  <si>
    <t>14. วิทยาลัยเทคโนโลยีอุตสาหกรรมและการจัดการ (ขนอม)</t>
  </si>
  <si>
    <t>รวมต้นทุนกิจกรรมหน่วยงานหลัก (1-14)</t>
  </si>
  <si>
    <t>หน่วยงานสนับสนุน</t>
  </si>
  <si>
    <t>1. สำนักงานอธิการบดี</t>
  </si>
  <si>
    <t>งานสนับสนุนการเรียนการสอนด้านสังคมศาสตร์</t>
  </si>
  <si>
    <t>งานสนับสนุนการเรียนการสอนด้านวิทยาศาสตร์และเทคโนโลยี</t>
  </si>
  <si>
    <t>งานสนับสนุนการจัดอบรมและสัมมนาเชิงวิชาการหรือปฏิบัติการ</t>
  </si>
  <si>
    <t>งานสนับสนุนส่งเสริมและทำนุบำรุงศิลปวัฒนธรรม</t>
  </si>
  <si>
    <t>งานสนับสนุนการวิจัยและถ่ายทอดเทคโนโลยี</t>
  </si>
  <si>
    <t>งานสนับสนุนการวิจัยเพื่อสร้างองค์ความรู้</t>
  </si>
  <si>
    <t>งานสนับสนุนการเตรียมความพร้อมเข้าสู่ประชาคมอาเซียน</t>
  </si>
  <si>
    <t>กิจกรรมด้านบริหาร</t>
  </si>
  <si>
    <t>กิจกรรมด้านการคลัง</t>
  </si>
  <si>
    <t>กิจกรรมด้านบริหารบุคลากร</t>
  </si>
  <si>
    <t>กิจกรรมด้านนโยบายและแผน</t>
  </si>
  <si>
    <t>กิจกรรมด้านพัฒนานักศึกษา</t>
  </si>
  <si>
    <t>กิจกรรมด้านพัฒนาระบบบริหารราชการ</t>
  </si>
  <si>
    <t>กิจกรรมด้านการประชาสัมพันธ์</t>
  </si>
  <si>
    <t>กิจกรรมด้านยานพาหนะและอาคารสถานที่</t>
  </si>
  <si>
    <t>กิจกรรมด้านเทคโนโลยีสารสนเทศ</t>
  </si>
  <si>
    <t>กิจกรรมด้านการจัดการทรัพยากรธรรมชาติและสิ่งแวดล้อม</t>
  </si>
  <si>
    <t>กิจกรรมด้านงานทะเบียน</t>
  </si>
  <si>
    <t>2. ส่วนกลางสงขลา</t>
  </si>
  <si>
    <t>3. สำนักงานวิทยาเขตนครศรีธรรมราช (ไสใหญ่)</t>
  </si>
  <si>
    <t>4. สำนักงานวิทยาเขตนครศรีธรรมราช (ทุ่งใหญ่)</t>
  </si>
  <si>
    <t>5. สำนักงานวิทยาเขตตรัง</t>
  </si>
  <si>
    <t>6. สถาบันวิจัยและพัฒนา (ตรัง)</t>
  </si>
  <si>
    <t>7. สถาบันศึกษาทรัพยากรธรรมชาติฝั่งอันดามัน (ตรัง)</t>
  </si>
  <si>
    <t>เงินบำเหน็จ</t>
  </si>
  <si>
    <t>งปม.+นอกงปม.
แต่ละกิจกรรม</t>
  </si>
  <si>
    <t>ร้อยละ
ปันส่วน</t>
  </si>
  <si>
    <t>ค่าเสื่อมราคา
หลังปันส่วน</t>
  </si>
  <si>
    <t>ค่าเสื่อมราคา
ก่อนปันส่วน</t>
  </si>
  <si>
    <t>ค่าช่วยการศึกษาบุตร</t>
  </si>
  <si>
    <t xml:space="preserve"> รวมปันส่วน</t>
  </si>
  <si>
    <t>รวมต้นทุนกิจกรรมพื้นที่สงขลา (1-6)</t>
  </si>
  <si>
    <t>ค่าเสื่อมราคาครุภัณฑ์</t>
  </si>
  <si>
    <t>ค่าเสื่อมราคาอาคารและสิ่งปลูกสร้าง</t>
  </si>
  <si>
    <t>งปม.+นอกงปม.</t>
  </si>
  <si>
    <t>ค่า FTES 
(ใช้สำหรับปันส่วนค่าเสื่อมอาคารส่วนกลางสงขลา)</t>
  </si>
  <si>
    <t>รวมค่าเสื่อมราคาหลังรับปันส่วน</t>
  </si>
  <si>
    <t>1.คณะวิศวกรรมศาสตร์</t>
  </si>
  <si>
    <t>2.คณะบริหารธุรกิจ</t>
  </si>
  <si>
    <t>3.คณะศิลปศาสตร์</t>
  </si>
  <si>
    <t>4.คณะสถาปัตยกรรมศาสตร์</t>
  </si>
  <si>
    <t>5.คณะครุศาสตร์อุตสาหกรรม</t>
  </si>
  <si>
    <t>6.วิทยาลัยรัตภูมิ</t>
  </si>
  <si>
    <t>หน่วยสนับสนุน</t>
  </si>
  <si>
    <t>7.สำนักงานอธิการบดี</t>
  </si>
  <si>
    <t>8.ส่วนกลางสงขลา</t>
  </si>
  <si>
    <t>กิจกรรม</t>
  </si>
  <si>
    <t>หน่วยงาน</t>
  </si>
  <si>
    <t>สำนักงานอธิการบดี</t>
  </si>
  <si>
    <t>สำนักงานวิทยาเขตนครศรีธรรมราช</t>
  </si>
  <si>
    <t>กองคลัง</t>
  </si>
  <si>
    <t>กองบริหารงานบุคคล</t>
  </si>
  <si>
    <t>กองนโยบายและแผน</t>
  </si>
  <si>
    <t>กองพัฒนนักศึกษา</t>
  </si>
  <si>
    <t>กองวิเทศสัมพันธ์และการประกันคุณภาพ</t>
  </si>
  <si>
    <t>กองประชาสัมพันธ์</t>
  </si>
  <si>
    <t>สำนักวิทยบริการและเทคโนโลยีสารสนเทศ</t>
  </si>
  <si>
    <t>สำนักส่งเสริมวิชาการและงานทะเบียน</t>
  </si>
  <si>
    <t>ค่าเสื่อม</t>
  </si>
  <si>
    <t xml:space="preserve">กองกลาง+กองออกแบบและพัฒนาอาคารฯ </t>
  </si>
  <si>
    <t>สำนักงานวิทยาเขตตรัง</t>
  </si>
  <si>
    <t>สถาบันทรัพยากรธรรมชาติและสิ่งแวดล้อม+สถาบันวิจัยและพัฒนา</t>
  </si>
  <si>
    <t>รวมต้นทุน
กิจกรรม</t>
  </si>
  <si>
    <t>รวมด้านบริหาร</t>
  </si>
  <si>
    <t>ลำดับ</t>
  </si>
  <si>
    <t>สาขา</t>
  </si>
  <si>
    <t>ปวส.</t>
  </si>
  <si>
    <t>ปริญญาตรี</t>
  </si>
  <si>
    <t>ปริญญาโท</t>
  </si>
  <si>
    <t>ภาคปกติ</t>
  </si>
  <si>
    <t>ภาคสมทบ</t>
  </si>
  <si>
    <t>การจัดการ-การจัดการทั่วไป</t>
  </si>
  <si>
    <t>การตลาด</t>
  </si>
  <si>
    <t>การบัญชี</t>
  </si>
  <si>
    <t>การเงิน</t>
  </si>
  <si>
    <t>ระบบสารสนเทศทางธุรกิจ</t>
  </si>
  <si>
    <t>วิศวกรรมอิเล็กทรอนิกส์</t>
  </si>
  <si>
    <t>วิศวกรรมโยธา</t>
  </si>
  <si>
    <t>วิศวกรรมไฟฟ้า</t>
  </si>
  <si>
    <t>เทคโนโลยีคอมพิวเตอร์</t>
  </si>
  <si>
    <t>เทคโนโลยีอุตสาหการ</t>
  </si>
  <si>
    <t>การโรงแรม</t>
  </si>
  <si>
    <t>ภาษาอังกฤษเพื่อการสื่อสารสากล</t>
  </si>
  <si>
    <t>อาหารและโภชนาการ</t>
  </si>
  <si>
    <t>เทคโนโลยีเครื่องจักรกลเกษตร</t>
  </si>
  <si>
    <t>คอมพิวเตอร์ธุรกิจ</t>
  </si>
  <si>
    <t>ช่างกลเกษตร</t>
  </si>
  <si>
    <t>ช่างยนต์</t>
  </si>
  <si>
    <t>วิทยาศาสตร์และเทคโนโลยี</t>
  </si>
  <si>
    <t>การแพทย์แผนไทย</t>
  </si>
  <si>
    <t>ชีววิทยาประยุกต์</t>
  </si>
  <si>
    <t>เคมีอุตสาหกรรม</t>
  </si>
  <si>
    <t>เทคโนโลยีการยาง</t>
  </si>
  <si>
    <t>เทคโนโลยีน้ำมันปาล์มและโอลิโอเคมี</t>
  </si>
  <si>
    <t>เทคโนโลยีสารสนเทศ</t>
  </si>
  <si>
    <t>เกษตรศาสตร์</t>
  </si>
  <si>
    <t>การเพาะเลี้ยงสัตว์น้ำและการจัดการทรัพยากรประมง</t>
  </si>
  <si>
    <t>นักศึกษาลงทะเบียนข้ามวิทยาเขต</t>
  </si>
  <si>
    <t>ประมง</t>
  </si>
  <si>
    <t>พัฒนาการเกษตรและธุรกิจเกษตร</t>
  </si>
  <si>
    <t>พืชศาสตร์</t>
  </si>
  <si>
    <t>สัตวศาสตร์</t>
  </si>
  <si>
    <t>เกษตรกลวิธาน</t>
  </si>
  <si>
    <t>เทคโนโลยีการผลิตพืช</t>
  </si>
  <si>
    <t>เทคโนโลยีภูมิทัศน์</t>
  </si>
  <si>
    <t>เทคโนโลยีการจัดการ</t>
  </si>
  <si>
    <t>สัตวแพทยศาสตร์</t>
  </si>
  <si>
    <t>อุตสาหกรรมเกษตร (วิทยาเขตนครศรีธรรมราช ทุ่งใหญ่)</t>
  </si>
  <si>
    <t>วิทยาศาสตร์และเทคโนโลยีการอาหาร</t>
  </si>
  <si>
    <t>เทคโนโลยีชีวภาพ</t>
  </si>
  <si>
    <t>เกษตรศาสตร์ (วิทยาเขตนครศรีธรรมราช ทุ่งใหญ่)</t>
  </si>
  <si>
    <t>การโรงแรมและการท่องเที่ยว</t>
  </si>
  <si>
    <t>วิทยาลัยการโรงแรมและการท่องเที่ยว</t>
  </si>
  <si>
    <t>วิทยาศาสตร์และเทคโนโลยีการประมง</t>
  </si>
  <si>
    <t>การจัดการชายฝั่งแบบบูรณาการ</t>
  </si>
  <si>
    <t>การจัดการประมงและธุรกิจสัตว์น้ำ</t>
  </si>
  <si>
    <t>การจัดการสิ่งแวดล้อมท้องถิ่น- การจัดการสิ่งเเวดล้อม</t>
  </si>
  <si>
    <t>การจัดการสิ่งแวดล้อมท้องถิ่น- ทรัพยากรและสิ่งแวดล้อม</t>
  </si>
  <si>
    <t>วิทยาศาสตร์ทางทะเล- การจัดการทรัพยากรและการท่องเที่ยวทางทะเล</t>
  </si>
  <si>
    <t>วิทยาศาสตร์ทางทะเล- ชีววิทยาทางทะเล</t>
  </si>
  <si>
    <t>วิทยาศาสตร์สิ่งแวดล้อม- วิทยาศาสตร์สิ่งเเวดล้อม</t>
  </si>
  <si>
    <t>อุตสาหกรรมอาหาร</t>
  </si>
  <si>
    <t>เทคโนโลยีการจัดการสิ่งแวดล้อม</t>
  </si>
  <si>
    <t>เทคโนโลยีการเพาะเลี้ยงสัตว์น้ำ</t>
  </si>
  <si>
    <t>เทคโนโลยีสารสนเทศ- เทคโนโลยีมัลติมีเดีย</t>
  </si>
  <si>
    <t>เทคโนโลยีสารสนเทศ- เทคโนโลยีสารสนเทศ</t>
  </si>
  <si>
    <t>เทคโนโลยีอุตสาหกรรม- เทคโนโลยีโยธา</t>
  </si>
  <si>
    <t>เทคโนโลยีอุตสาหกรรม- เทคโนโลยีไฟฟ้า</t>
  </si>
  <si>
    <t>เพาะเลี้ยงสัตว์น้ำ</t>
  </si>
  <si>
    <t>วิศวกรรมศาสตร์และเทคโนโลยี</t>
  </si>
  <si>
    <t>วิศวกรรมสารสนเทศและการสื่อสาร</t>
  </si>
  <si>
    <t>รวมค่าเสื่อมราคา
หลังรับปันส่วน</t>
  </si>
  <si>
    <t>รวมต้นทุนกิจกรรมหน่วยงานสนับสนุน (1,3-7)  ไม่รวมส่วนกลางสงขลา</t>
  </si>
  <si>
    <t>คณะ/หน่วยงานที่เทียบเท่า</t>
  </si>
  <si>
    <t>ประเภทบุคลากร</t>
  </si>
  <si>
    <t>ข้าราชการ </t>
  </si>
  <si>
    <t>พนักงานมหาลัย</t>
  </si>
  <si>
    <t>พนักงานราชการ</t>
  </si>
  <si>
    <t>จ้างประจำ</t>
  </si>
  <si>
    <t>จ้างชั่วคราว</t>
  </si>
  <si>
    <t>ชาย</t>
  </si>
  <si>
    <t>หญิง</t>
  </si>
  <si>
    <t>กองกลาง</t>
  </si>
  <si>
    <t>กองนโยบายและแผนงาน</t>
  </si>
  <si>
    <t>กองพัฒนานักศึกษา</t>
  </si>
  <si>
    <t>กองออกแบบและพัฒนาอาคารสถานที่</t>
  </si>
  <si>
    <t>คณะเกษตรศาสตร์ พื้นที่ทุ่งใหญ่</t>
  </si>
  <si>
    <t>คณะเกษตรศาสตร์ พื้นที่ไสใหญ่</t>
  </si>
  <si>
    <t>คณะเทคโนโลยีการจัดการ พื้นที่ไสใหญ่</t>
  </si>
  <si>
    <t>คณะวิทยาศาสตร์และเทคโนโลยี พื้นที่ทุ่งใหญ่</t>
  </si>
  <si>
    <t>คณะวิทยาศาสตร์และเทคโนโลยี พื้นที่ไสใหญ่</t>
  </si>
  <si>
    <t>คณะสัตวแพทยศาสตร์ พื้นที่ทุ่งใหญ่</t>
  </si>
  <si>
    <t>คณะอุตสาหกรรมเกษตร พื้นที่ทุ่งใหญ่</t>
  </si>
  <si>
    <t>โครงการจัดตั้งศูนย์ศิลปวัฒนธรรมราชมงคลศรีวิชัย</t>
  </si>
  <si>
    <t>งานฟาร์ม (คณะเกษตรศาสตร์) พื้นที่ทุ่งใหญ่</t>
  </si>
  <si>
    <t>งานฟาร์ม (คณะสัตวแพทยศาสตร์) พื้นที่ทุ่งใหญ่</t>
  </si>
  <si>
    <t>งานหอพัก (สำนักงานวิทยาเขตนครศรีธรรมราช) พื้นที่ทุ่งใหญ่</t>
  </si>
  <si>
    <t>สถาบันทรัพยากรธรรมชาติและสิ่งแวดล้อม</t>
  </si>
  <si>
    <t>สถาบันวิจัยและพัฒนา</t>
  </si>
  <si>
    <t>สภาคณาจารย์และข้าราชการ</t>
  </si>
  <si>
    <t>สำนักงานนิติการ</t>
  </si>
  <si>
    <t>สำนักงานวิทยาเขตนครศรีธรรมราช พื้นที่ทุ่งใหญ่</t>
  </si>
  <si>
    <t>สำนักงานวิทยาเขตนครศรีธรรมราช พื้นที่ไสใหญ่</t>
  </si>
  <si>
    <t>สำนักงานสภามหาวิทยาลัยเทคโนโลยีราชมงคลศรีวิชัย</t>
  </si>
  <si>
    <t>หน่วยตรวจสอบภายใน</t>
  </si>
  <si>
    <t>ปันส่วนให้กับพื้นที่สงขลาแล้ว</t>
  </si>
  <si>
    <t>ส.</t>
  </si>
  <si>
    <t>ว</t>
  </si>
  <si>
    <t>การจัดการ</t>
  </si>
  <si>
    <t>การจัดการโลจิสติกส์</t>
  </si>
  <si>
    <t>ธุรกิจอิเล็กทรอนิกส์</t>
  </si>
  <si>
    <t>Ftes</t>
  </si>
  <si>
    <t xml:space="preserve"> รวมหลังปันส่วน</t>
  </si>
  <si>
    <t>คณะวิศวกรรมศาสตร์และเทคโนโลยี (รวมในวิทย์ประมงตรัง)</t>
  </si>
  <si>
    <t>มหาวิทยาลัยเทคโนโลยีราชมงคลศรีวิชัย  (คชจ.ก่อนรับการปันส่วนจากหน่วยงานสนับสนุน)</t>
  </si>
  <si>
    <t>รวมต้นทุนผลผลิต (หลังรับปันส่วนจากหน่วยงานสนับสนุน)</t>
  </si>
  <si>
    <t xml:space="preserve">5.  ต้นทุนกิจกรรมของหน่วยงานสนับสนุน (กิจกรรมที่ 20-30) ใช้วิธีการปันส่วนในแต่ละกิจกรรมตามหน่วยงาน โดยใช้เกณฑ์ร้อยละของเงินงบประมาณที่ได้รับจัดสรร ซึ่งกิจกรรมด้านการบริหารมีต้นทุนรวมสูงที่สุดในกิจกรรมของหน่วยสนับสนุน เนื่องจากจะต้องบริหารจัดการให้เป็นไปตามพันธกิจของมหาวิทยาลัยฯ </t>
  </si>
  <si>
    <r>
      <rPr>
        <b/>
        <sz val="16"/>
        <rFont val="TH SarabunPSK"/>
        <family val="2"/>
      </rPr>
      <t xml:space="preserve">               </t>
    </r>
    <r>
      <rPr>
        <b/>
        <u/>
        <sz val="16"/>
        <rFont val="TH SarabunPSK"/>
        <family val="2"/>
      </rPr>
      <t>หัก</t>
    </r>
    <r>
      <rPr>
        <sz val="16"/>
        <rFont val="TH SarabunPSK"/>
        <family val="2"/>
      </rPr>
      <t xml:space="preserve">  ต้นทุนหน่วยงานที่ไม่เกี่ยวข้องในการผลิตผลผลิต</t>
    </r>
  </si>
  <si>
    <t>การวิเคราะห์การเปลี่ยนแปลงของรายได้</t>
  </si>
  <si>
    <t>การวิเคราะห์การเปลี่ยนแปลงของค่าใช้จ่าย</t>
  </si>
  <si>
    <t>การวิเคราะห์การเปลี่ยนแปลงของต้นทุนกิจกรรม</t>
  </si>
  <si>
    <t>การวิเคราะห์การเปลี่ยนแปลงของต้นทุนผลผลิต</t>
  </si>
  <si>
    <t>มหาวิทยาลัยเทคโนโลยีราชมงคลศรีวิชัย (ก่อนรับการปันส่วน)</t>
  </si>
  <si>
    <t>20. กิจกรรมด้านบริหาร</t>
  </si>
  <si>
    <t>19. การเตรียมความพร้อมเข้าสู่ประชาคมอาเซียน</t>
  </si>
  <si>
    <r>
      <t>ตารางที่ 1</t>
    </r>
    <r>
      <rPr>
        <sz val="16"/>
        <rFont val="TH SarabunPSK"/>
        <family val="2"/>
      </rPr>
      <t xml:space="preserve">  รายงานรายได้แยกประเภทตามแหล่งของเงิน ประจำปีงบประมาณ 2559</t>
    </r>
  </si>
  <si>
    <r>
      <t>ตารางที่ 2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 รายงานต้นทุนตามประเภทค่าใช้จ่าย ประจำปีงบประมาณ 2559</t>
    </r>
  </si>
  <si>
    <r>
      <t>ตารางที่ 3</t>
    </r>
    <r>
      <rPr>
        <sz val="16"/>
        <rFont val="TH SarabunPSK"/>
        <family val="2"/>
      </rPr>
      <t xml:space="preserve"> รายงานต้นทุนกิจกรรม ประจำปีงบประมาณ 2559</t>
    </r>
  </si>
  <si>
    <r>
      <t xml:space="preserve">ตารางที่ 4 </t>
    </r>
    <r>
      <rPr>
        <sz val="14"/>
        <rFont val="TH SarabunPSK"/>
        <family val="2"/>
      </rPr>
      <t xml:space="preserve"> รายงานต้นทุนผลผลิต ประจำปีงบประมาณ 2559</t>
    </r>
  </si>
  <si>
    <t>ปีงบประมาณ 2559</t>
  </si>
  <si>
    <r>
      <t>ตารางที่ 5</t>
    </r>
    <r>
      <rPr>
        <sz val="16"/>
        <rFont val="TH SarabunPSK"/>
        <family val="2"/>
      </rPr>
      <t xml:space="preserve">  รายงานเปรียบเทียบรายได้แยกประเภทตามแหล่งของเงิน ประจำปีงบประมาณ 2558 และ 2559</t>
    </r>
  </si>
  <si>
    <r>
      <t>ตารางที่ 6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 รายงานเปรียบเทียบต้นทุนตามประเภทค่าใช้จ่าย ประจำปีงบประมาณ 2558 และ 2559</t>
    </r>
  </si>
  <si>
    <r>
      <t>ตารางที่ 7</t>
    </r>
    <r>
      <rPr>
        <sz val="20"/>
        <rFont val="TH SarabunPSK"/>
        <family val="2"/>
      </rPr>
      <t xml:space="preserve"> รายงานเปรียบเทียบต้นทุนกิจกรรม ประจำปีงบประมาณ 2558 และ 2559</t>
    </r>
  </si>
  <si>
    <r>
      <t xml:space="preserve">ตารางที่ 8  </t>
    </r>
    <r>
      <rPr>
        <sz val="18"/>
        <rFont val="TH SarabunPSK"/>
        <family val="2"/>
      </rPr>
      <t>รายงานเปรียบเทียบต้นทุนผลผลิต ประจำปีงบประมาณ 2558 และ 2559</t>
    </r>
  </si>
  <si>
    <t>ต้นทุนต่อหน่วยผลผลิตด้านการเรียนการสอนแยกตามกลุ่มสาขาวิชาสมศ.  ประจำปีงบประมาณ 2559</t>
  </si>
  <si>
    <t>รายละเอียดแสดงค่าใช้จ่ายของหน่วยงาน  แยกตามประเภทค่าใช้จ่ายและแหล่งของเงิน ปีงปม.2559</t>
  </si>
  <si>
    <t>ต้นทุนกิจกรรมด้านการเรียนการสอนแยกตามกลุ่มสาขาวิชาสมศ.  ประจำปีงบประมาณ 2559</t>
  </si>
  <si>
    <t>รายละเอียดแสดงค่าใช้จ่ายแต่ละกิจกรรม แยกตามหน่วยงานและแหล่งของเงิน ปีงปม.2559</t>
  </si>
  <si>
    <t>ค่าเสื่อมราคาอาคารส่วนกลางสงขลาปันส่วนให้พื้นที่สงขลา โดยใช้ค่า FTES ปีงปม.2559</t>
  </si>
  <si>
    <t>ต้นทุนกิจกรรมหน่วยงานสนับสนุน ประจำปีงบประมาณ พ.ศ.2559</t>
  </si>
  <si>
    <t>การพัฒนาศักยภาพบุคลากรด้านการท่องเที่ยว</t>
  </si>
  <si>
    <t>งานสนับสนุนการพัฒนาศักยภาพบุคลากรด้านการท่องเที่ยว</t>
  </si>
  <si>
    <t>4. ศูนย์ฝึกวิชาชีพ (ตรัง)</t>
  </si>
  <si>
    <t>ค่าใช้จ่ายที่ไม่เป็นต้นทุนผลผลิตของมหาวิทยาลัยฯ</t>
  </si>
  <si>
    <t>เงินช่วยเหลือพิเศษกรณีผู้รับบำนาญกรณีตาย</t>
  </si>
  <si>
    <t>ค่ารักษาพยาบาลผู้ป่วยนอก-รพ.เอกชน-เบี้ยหวัด/บำนาญ</t>
  </si>
  <si>
    <t>start</t>
  </si>
  <si>
    <t>รวมค่าเสื่อมราคา
อาคารส่วนกลางสงขลารับปันส่วน</t>
  </si>
  <si>
    <t>สรุปค่า FTES แยกตามผลผลิต ปีงบประมาณ 2559</t>
  </si>
  <si>
    <t>ข้อมูล ณ วันที่ 23-08-2016</t>
  </si>
  <si>
    <t>การจัดการอุตสาหกรรมและบริการ</t>
  </si>
  <si>
    <t>พื้นที่ทุ่งใหญ่</t>
  </si>
  <si>
    <t>พื้นที่ไสใหญ่</t>
  </si>
  <si>
    <t>-</t>
  </si>
  <si>
    <t>พื้นที่ขนอม</t>
  </si>
  <si>
    <t>การจัดการทรัพยากรและสิ่งแวดล้อม</t>
  </si>
  <si>
    <t>พื้นที่ตรัง</t>
  </si>
  <si>
    <t>พื้นที่รัตภูมิ</t>
  </si>
  <si>
    <t>ช่างไฟฟ้า</t>
  </si>
  <si>
    <t>พื้นที่รัตภูมิ ปวส.</t>
  </si>
  <si>
    <t>พื้นที่สงขลา</t>
  </si>
  <si>
    <t>ข้อมูล ณ วันที่ 09-12-2016</t>
  </si>
  <si>
    <t>ครุศาสตร์อุตสาหกรรมและเทคโนโลยี</t>
  </si>
  <si>
    <t>วิศวกรรมอิเล็กทรอนิกส์และโทรคมนาคม</t>
  </si>
  <si>
    <t>วิศวกรรมอุตสาหการ</t>
  </si>
  <si>
    <t>วิศวกรรมแมคคาทรอนิกส์</t>
  </si>
  <si>
    <t>เทคโนโลยีปิโตรเลียม</t>
  </si>
  <si>
    <t>เทคโนโลยีสื่อสารมวลชน</t>
  </si>
  <si>
    <t>บริหารธุรกิจ</t>
  </si>
  <si>
    <t>การจัดการ-การจัดการทรัพยากรมนุษย์</t>
  </si>
  <si>
    <t>การจัดการ-การจัดการสำนักงานอิเล็กทรอนิกส์</t>
  </si>
  <si>
    <t>การจัดการ-การจัดการอุตสาหกรรม</t>
  </si>
  <si>
    <t>การจัดการธุรกิจขนาดกลางและขนาดย่อม</t>
  </si>
  <si>
    <t>วิศวกรรมศาสตร์</t>
  </si>
  <si>
    <t>วิศวกรรมการผลิต</t>
  </si>
  <si>
    <t>วิศวกรรมคอมพิวเตอร์</t>
  </si>
  <si>
    <t>วิศวกรรมสำรวจ</t>
  </si>
  <si>
    <t>วิศวกรรมเครื่องกล</t>
  </si>
  <si>
    <t>วิศวกรรมเครื่องนุ่งห่ม</t>
  </si>
  <si>
    <t>วิศวกรรมโทรคมนาคม</t>
  </si>
  <si>
    <t>เทคโนโลยีเครื่องกล</t>
  </si>
  <si>
    <t>ศิลปศาสตร์</t>
  </si>
  <si>
    <t>การท่องเที่ยว</t>
  </si>
  <si>
    <t>ธุรกิจคหกรรมศาสตร์</t>
  </si>
  <si>
    <t>สถาปัตยกรรมศาสตร์</t>
  </si>
  <si>
    <t>การผังเมือง</t>
  </si>
  <si>
    <t>การออกแบบแฟชั่นและสิ่งทอ</t>
  </si>
  <si>
    <t>จิตรกรรม</t>
  </si>
  <si>
    <t>สถาปัตยกรรม</t>
  </si>
  <si>
    <t>เทคโนโลยีสถาปัตยกรรม</t>
  </si>
  <si>
    <t>14. คณะวิศวกรรมศาสตร์และเทคโนโลยี</t>
  </si>
  <si>
    <t>ว.</t>
  </si>
  <si>
    <t>งบกลาง  สอ. = 9963717.05</t>
  </si>
  <si>
    <t>งบกลางสอ. ปันส่วน</t>
  </si>
  <si>
    <t xml:space="preserve">งบกลาง </t>
  </si>
  <si>
    <t>(1)-รับปันส่วนจากส่วนกลางสงขลา (เฉพาะพื้นที่สงขลา).</t>
  </si>
  <si>
    <t>ต้นทุนกิจกรรม (หลังรับปันส่วนจากส่วนกลางสงขลา และปันส่วนค่าเสื่อมราคา)</t>
  </si>
  <si>
    <t>ต้นทุนกิจกรรมก่อนรับการปันส่วน</t>
  </si>
  <si>
    <t>18. การพัฒนาศักยภาพบุคลากรด้านการท่องเที่ยว</t>
  </si>
  <si>
    <t>7. การพัฒนาศักยภาพบุคลากรด้านการท่องเที่ยว</t>
  </si>
  <si>
    <t>18. การพัฒนาบุคลากรด้านการท่องเที่ยว</t>
  </si>
  <si>
    <t>เงินงปม.ที่ได้รับ
จัดสรรปี 59</t>
  </si>
  <si>
    <t>ตสน.+วัฒนธรรมฯ+นิติการ+สภา+สภาคณาจารย์</t>
  </si>
  <si>
    <t>FTES/59</t>
  </si>
  <si>
    <t>(3)-รับปันส่วนจากหน่วยงานสนับสนุน</t>
  </si>
  <si>
    <t>(2)-ปันส่วนงบกลาง สอ.</t>
  </si>
  <si>
    <t>7. การพัฒนาบุคลากรด้านการท่องเที่ยว</t>
  </si>
  <si>
    <t xml:space="preserve">1. รายได้จากรัฐบาลเพิ่มขึ้น เนื่องจาก ปีงบประมาณ 2559 ได้รับจัดสรรรายได้จากรัฐบาลเพิ่มขึ้นจำนวน 190,226,100 บาท คิดเป็น 17.72% </t>
  </si>
  <si>
    <t xml:space="preserve">3. ปีงบประมาณ 2559 มหาวิทยาลัยฯ มีจำนวนเงินที่ใช้สำหรับการบริหารจัดการเพิ่มขึ้นจากปีงบประมาณ 2558 จำนวน 206,555,780 บาท 
คิดเป็น 13.71% </t>
  </si>
  <si>
    <t>1. ค่าใช้จ่ายด้านบุคลากรลดลง 4.75% จากปีงบประมาณ 2558 โดยค่าใช้จ่ายด้านบุคลากรลดลงเนื่องจากมีข้าราชการเกษียณอายุราชการในส่วนเงินงบประมาณ แต่เงินนอกงบประมาณลดลงจากค่าจ้างชั่วคราว เนื่องจากลูกจ้างชั่วคราวสอบบรรจุเป็นพนักงานมหาวิทยาลัยเพิ่มขึ้น โดยเงินเดือนพนักงานมหาวิทยาลัยฯ เบิกจากเงินอุดหนุนทำให้ค่าใช้จ่ายเงินอุดหนุนเพิ่มขึ้นตามไปด้วยในอัตรา 13.74% ทั้งมีการปรับเงินเดือนพนักงานมหาวิทยาลัยเพิมขึ้น</t>
  </si>
  <si>
    <t xml:space="preserve">2. ค่าใช้จ่ายดำเนินงาน (ค่าใช้จ่ายประเภท 2-4) ในภาพรวมลดลง 4.39% ซึ่งเพิ่มขึ้นในส่วนเงินงบประมาณ และลดดลงในส่วนของเงินนอกงบประมาณ </t>
  </si>
  <si>
    <t>คณะวิศวกรรมศาสตร์และเทคโนโลยี</t>
  </si>
  <si>
    <t>3. ค่าเสื่อมราคาและค่าตัดจำหน่าย เพิ่มขึ้น 7.20% เนื่องจากมีครุภัณฑ์และอาคารที่มีราคาสูง ทำให้มีค่าเสื่อมราคาประจำปีสูงตามไปด้วย โดยมหาวิทยาลัยฯ มีการสร้างอาคารเรียนเพื่อรองรับการเรียนการสอนเพิ่มขึ้น บางอาคารได้รับการปรับปรุง</t>
  </si>
  <si>
    <t xml:space="preserve"> 2.  ต้นทุนกิจกรรมสำหรับปีงบประมาณ 2559 กิจกรรมที่ 1-19 คือกิจกรรมของหน่วยงานหลัก และกิจกรรมที่ 20-30 เป็นกิจกรรมของหน่วยงานสนับสนุน</t>
  </si>
  <si>
    <t>3.  กิจกรรมการจัดการเรียนการสอนกลุ่มสาขาวิชาวิทยาศาสตร์สุขภาพระดับปริญญาตรี มีต้นทุนต่อหน่วยสูงที่สุดคือ 245,544.19 บาท ซึ่งได้แก่ คณะสัตวแพทย์ศาสตร์ เป็นคณะที่เปิดสอนโดยเน้นให้ปฏิบัติเป็นส่วนใหญ่ มีบุคลากรที่มีคุณวุฒิสูง  มีครุภัณฑ์และอาคารที่มีราคาสูง ทำให้มีต้นทุนค่าเสื่อมราคาสูง ส่งผลให้ต้นทุนต่อหน่วยเพิ่มขึ้นด้วย</t>
  </si>
  <si>
    <t>4.  ต้นทุนกิจกรรมด้านการจัดการเรียนการสอน (กิจกรรมที่ 1-13) ปีงบประมาณ 2559 โดยส่วนใหญ่มีต้นทุนรวมลดลง  จำนวนหน่วยนับลดลง จึงทำให้มีต้นทุนต่อหน่วยส่วนใหญ่ลดลง เมื่อเปรียบเทียบกับปีงบประมาณ 2558</t>
  </si>
  <si>
    <t xml:space="preserve">6. การพัฒนาบุคลากรด้านการท่องเที่ยว เป็นกิจกรรมและผลผลิตใหม่ในปีงบประมาณ 2559 </t>
  </si>
  <si>
    <t>2. รายได้จากการขายสินค้าและบริการ (เงินนอกงบประมาณ) เพิ่มขึ้นจำนวน 16,329,680 บาท  คิดเป็น 3.77% เนื่องจากมีจำนวนนักศึกษาเพิ่มขึ้น</t>
  </si>
  <si>
    <t>รวมประเภทค่าใช้จ่าย 2-4
(ค่าใช้จ่ายดำเนินงาน เพื่อใช้ในการเปรียบเทียบ)</t>
  </si>
  <si>
    <t xml:space="preserve">4. ค่าใช้จ่ายอื่น ๆ เพิ่มขึ้น 4.64% ส่วนใหญ่เป็นการจัดโครงการต่าง ๆ โดยเฉพาะโครงการส่งเสริมและทำนุบำรุงศิลปวัฒนธรรม  และโครงการเกี่ยวกับการบริการวิชาการ </t>
  </si>
  <si>
    <t>เป็นกิจกรรมใหม่ในปีงบประมาณ พ.ศ.2559</t>
  </si>
  <si>
    <t>ผลผลิตใหม่ในปีงบประมาณ พ.ศ.2559</t>
  </si>
  <si>
    <t>1. มหาวิทยาลัยเทคโนโลยีราชมงคลศรีวิชัย เป็นมหาวิทยาลัยกลุ่มผลิตบัณฑิต โดยเน้นการผลิตบัณฑิตด้านวิทยาศาสตร์และเทคโนโลยี จึงทำให้มีต้นทุนต่อหน่วยสูงกว่าด้านสังคมศาสตร์</t>
  </si>
  <si>
    <t>2. ค่าใช้จ่ายของงานฟาร์ม หอพัก พิพิธภัณฑ์ และโรงพยาบาลสัตว์ ปีงบประมาณ 2559 ค่าใช้จ่ายบางส่วนไม่สามารถแยกออกได้ชัดเจนจึงรวมอยู่ในต้นทุนของแต่ละคณะซึ่งทำให้มีต้นทุนแฝงอยู่ในต้นทุนด้านการเรียนการสอน</t>
  </si>
  <si>
    <t xml:space="preserve"> งบกลาง (ถ้ามี)</t>
  </si>
  <si>
    <t xml:space="preserve">4. กลุ่มวิทยาศาสตร์กายภาพ ระดับปริญญาโท ประกอบด้วยคณะวิทยาศาสตร์และเทคโนโลยีการประมงเพียงคณะเดียว มีต้นทุนต่อหน่วยผลผลิตเพิ่มขึ้นจากปีงบประมาณ 2558 คิดเป็น 70.93% เนื่องจากมีต้นทุนรวมลดลง 26.46% และมีค่า FTES ลดลง 56.98% </t>
  </si>
  <si>
    <t xml:space="preserve">3. ต้นทุนต่อหน่วยผลผลิตด้านการเรียนการสอนกลุ่มวิทยาศาสตร์สุขภาพเพิ่มขึ้นจากปีงบประมาณ 2558 คิดเป็น 32.08% ประกอบด้วยคณะสัตวแพทย์ศาสตร์เพียงคณะเดียว และมีครุภัณฑ์ อุปกรณ์ เครื่องมือที่ทันสมัย มีความจำเป็นในการเรียนการสอนเพื่อให้ได้มาตรฐาน ซึ่งค่าเสื่อมราคาของคณะสัตวแพทย์คิดเป็น 26.06% ของต้นทุนรวมคณะสัตวแพทย์ศาสตร์ </t>
  </si>
  <si>
    <t xml:space="preserve">5. ผลผลิตผลงานวิจัยเพื่อสร้างองค์ความรู้ มีต้นทุนรวมเพิ่มขึ้น 38.40% เพิ่มขึ้นจากเงินงบประมาณ  มีโครงการหรือหน่วยนับเพิ่มขึ้น 3.92% </t>
  </si>
  <si>
    <t xml:space="preserve">   รายงานผลการคำนวณเปรียบเทียบต้นทุนต่อหน่วยผลผลิต ปีงปม.2559       </t>
  </si>
  <si>
    <t>เอกสาร 4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</si>
</sst>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_-* #,##0_-;\-* #,##0_-;_-* &quot;-&quot;??_-;_-@_-"/>
    <numFmt numFmtId="188" formatCode="_-* #,##0.0000_-;\-* #,##0.0000_-;_-* &quot;-&quot;??_-;_-@_-"/>
    <numFmt numFmtId="189" formatCode="_-* #,##0.00%_-;\(#,##0.00%\);_-* &quot;-&quot;??_-;_-@_-"/>
  </numFmts>
  <fonts count="41">
    <font>
      <sz val="16"/>
      <name val="Angsana New"/>
      <charset val="222"/>
    </font>
    <font>
      <sz val="16"/>
      <name val="Angsana New"/>
      <family val="1"/>
    </font>
    <font>
      <b/>
      <sz val="16"/>
      <name val="Angsana New"/>
      <family val="1"/>
    </font>
    <font>
      <sz val="8"/>
      <name val="Angsana New"/>
      <family val="1"/>
    </font>
    <font>
      <b/>
      <sz val="14"/>
      <name val="Angsana New"/>
      <family val="1"/>
    </font>
    <font>
      <sz val="14"/>
      <name val="Angsana New"/>
      <family val="1"/>
    </font>
    <font>
      <sz val="16"/>
      <name val="TH SarabunPSK"/>
      <family val="2"/>
    </font>
    <font>
      <sz val="14"/>
      <name val="TH SarabunPSK"/>
      <family val="2"/>
    </font>
    <font>
      <sz val="20"/>
      <name val="TH SarabunPSK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sz val="20"/>
      <color rgb="FFFF0000"/>
      <name val="TH SarabunPSK"/>
      <family val="2"/>
    </font>
    <font>
      <sz val="18"/>
      <name val="TH SarabunPSK"/>
      <family val="2"/>
    </font>
    <font>
      <b/>
      <sz val="14"/>
      <color rgb="FFFF0000"/>
      <name val="TH SarabunPSK"/>
      <family val="2"/>
    </font>
    <font>
      <b/>
      <sz val="14"/>
      <name val="TH SarabunPSK"/>
      <family val="2"/>
    </font>
    <font>
      <sz val="16"/>
      <color rgb="FFFF0000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TH SarabunPSK"/>
      <family val="2"/>
    </font>
    <font>
      <b/>
      <sz val="20"/>
      <color rgb="FFFF0000"/>
      <name val="TH SarabunPSK"/>
      <family val="2"/>
    </font>
    <font>
      <b/>
      <u/>
      <sz val="16"/>
      <name val="TH SarabunPSK"/>
      <family val="2"/>
    </font>
    <font>
      <u/>
      <sz val="16"/>
      <name val="TH SarabunPSK"/>
      <family val="2"/>
    </font>
    <font>
      <b/>
      <u/>
      <sz val="14"/>
      <name val="TH SarabunPSK"/>
      <family val="2"/>
    </font>
    <font>
      <b/>
      <sz val="20"/>
      <name val="TH SarabunPSK"/>
      <family val="2"/>
    </font>
    <font>
      <b/>
      <u/>
      <sz val="20"/>
      <name val="TH SarabunPSK"/>
      <family val="2"/>
    </font>
    <font>
      <i/>
      <sz val="20"/>
      <name val="TH SarabunPSK"/>
      <family val="2"/>
    </font>
    <font>
      <sz val="20"/>
      <color indexed="10"/>
      <name val="TH SarabunPSK"/>
      <family val="2"/>
    </font>
    <font>
      <sz val="22"/>
      <name val="TH SarabunPSK"/>
      <family val="2"/>
    </font>
    <font>
      <u/>
      <sz val="18"/>
      <name val="TH SarabunPSK"/>
      <family val="2"/>
    </font>
    <font>
      <u/>
      <sz val="14"/>
      <name val="TH SarabunPSK"/>
      <family val="2"/>
    </font>
    <font>
      <u/>
      <sz val="20"/>
      <name val="TH SarabunPSK"/>
      <family val="2"/>
    </font>
    <font>
      <i/>
      <sz val="14"/>
      <name val="TH SarabunPSK"/>
      <family val="2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b/>
      <u/>
      <sz val="20"/>
      <color rgb="FFFF0000"/>
      <name val="TH SarabunPSK"/>
      <family val="2"/>
    </font>
    <font>
      <sz val="12"/>
      <name val="TH SarabunPSK"/>
      <family val="2"/>
    </font>
    <font>
      <b/>
      <sz val="14"/>
      <color theme="1"/>
      <name val="TH SarabunPSK"/>
      <family val="2"/>
    </font>
    <font>
      <b/>
      <u/>
      <sz val="18"/>
      <name val="TH SarabunPSK"/>
      <family val="2"/>
    </font>
    <font>
      <sz val="18"/>
      <color rgb="FFFF0000"/>
      <name val="TH SarabunPSK"/>
      <family val="2"/>
    </font>
    <font>
      <sz val="12"/>
      <name val="Angsana New"/>
      <family val="1"/>
    </font>
    <font>
      <b/>
      <sz val="16"/>
      <name val="TH SarabunIT๙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2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rgb="FFFF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rgb="FF00B050"/>
      </right>
      <top/>
      <bottom/>
      <diagonal/>
    </border>
    <border>
      <left style="thin">
        <color indexed="64"/>
      </left>
      <right style="thick">
        <color rgb="FF00B050"/>
      </right>
      <top style="thin">
        <color indexed="64"/>
      </top>
      <bottom style="thin">
        <color indexed="64"/>
      </bottom>
      <diagonal/>
    </border>
    <border>
      <left/>
      <right style="thick">
        <color rgb="FF00B050"/>
      </right>
      <top/>
      <bottom style="thick">
        <color rgb="FFFF0000"/>
      </bottom>
      <diagonal/>
    </border>
    <border>
      <left/>
      <right style="thick">
        <color rgb="FF00B050"/>
      </right>
      <top/>
      <bottom style="thin">
        <color indexed="64"/>
      </bottom>
      <diagonal/>
    </border>
    <border>
      <left/>
      <right style="thick">
        <color rgb="FF00B050"/>
      </right>
      <top style="thin">
        <color indexed="64"/>
      </top>
      <bottom/>
      <diagonal/>
    </border>
    <border>
      <left/>
      <right style="thick">
        <color rgb="FF00B05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7">
    <xf numFmtId="0" fontId="0" fillId="0" borderId="0" xfId="0"/>
    <xf numFmtId="0" fontId="6" fillId="0" borderId="0" xfId="0" applyFont="1" applyAlignment="1">
      <alignment vertical="center"/>
    </xf>
    <xf numFmtId="43" fontId="6" fillId="0" borderId="1" xfId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43" fontId="6" fillId="4" borderId="1" xfId="1" applyNumberFormat="1" applyFont="1" applyFill="1" applyBorder="1" applyAlignment="1">
      <alignment vertical="center"/>
    </xf>
    <xf numFmtId="0" fontId="5" fillId="0" borderId="0" xfId="0" applyFont="1"/>
    <xf numFmtId="0" fontId="4" fillId="0" borderId="1" xfId="0" applyFont="1" applyBorder="1" applyAlignment="1"/>
    <xf numFmtId="0" fontId="5" fillId="0" borderId="1" xfId="0" applyFont="1" applyBorder="1" applyAlignment="1"/>
    <xf numFmtId="43" fontId="7" fillId="0" borderId="1" xfId="1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3" fontId="5" fillId="0" borderId="0" xfId="1" applyFont="1" applyAlignment="1">
      <alignment horizontal="center" vertical="center"/>
    </xf>
    <xf numFmtId="43" fontId="5" fillId="0" borderId="0" xfId="1" applyFont="1"/>
    <xf numFmtId="43" fontId="5" fillId="0" borderId="0" xfId="0" applyNumberFormat="1" applyFont="1"/>
    <xf numFmtId="0" fontId="5" fillId="0" borderId="6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43" fontId="5" fillId="0" borderId="1" xfId="1" applyFont="1" applyBorder="1"/>
    <xf numFmtId="43" fontId="4" fillId="0" borderId="1" xfId="1" applyFont="1" applyBorder="1"/>
    <xf numFmtId="43" fontId="5" fillId="0" borderId="1" xfId="0" applyNumberFormat="1" applyFont="1" applyBorder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43" fontId="6" fillId="4" borderId="0" xfId="0" applyNumberFormat="1" applyFont="1" applyFill="1" applyAlignment="1">
      <alignment vertical="center"/>
    </xf>
    <xf numFmtId="43" fontId="6" fillId="4" borderId="1" xfId="0" applyNumberFormat="1" applyFont="1" applyFill="1" applyBorder="1" applyAlignment="1">
      <alignment vertical="center"/>
    </xf>
    <xf numFmtId="43" fontId="6" fillId="4" borderId="39" xfId="0" applyNumberFormat="1" applyFont="1" applyFill="1" applyBorder="1" applyAlignment="1">
      <alignment vertical="center"/>
    </xf>
    <xf numFmtId="0" fontId="18" fillId="0" borderId="32" xfId="0" applyFont="1" applyBorder="1" applyAlignment="1">
      <alignment horizontal="center" wrapText="1"/>
    </xf>
    <xf numFmtId="0" fontId="18" fillId="0" borderId="32" xfId="0" applyFont="1" applyBorder="1" applyAlignment="1">
      <alignment horizontal="left" wrapText="1"/>
    </xf>
    <xf numFmtId="0" fontId="18" fillId="0" borderId="32" xfId="0" applyFont="1" applyBorder="1" applyAlignment="1">
      <alignment horizontal="right" wrapText="1"/>
    </xf>
    <xf numFmtId="43" fontId="6" fillId="4" borderId="0" xfId="0" applyNumberFormat="1" applyFont="1" applyFill="1" applyBorder="1" applyAlignment="1">
      <alignment vertical="center"/>
    </xf>
    <xf numFmtId="43" fontId="10" fillId="4" borderId="0" xfId="1" applyFont="1" applyFill="1" applyAlignment="1">
      <alignment vertical="center"/>
    </xf>
    <xf numFmtId="0" fontId="10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6" fillId="4" borderId="39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left" vertical="center"/>
    </xf>
    <xf numFmtId="0" fontId="6" fillId="4" borderId="40" xfId="0" applyFont="1" applyFill="1" applyBorder="1" applyAlignment="1">
      <alignment horizontal="center" vertical="center"/>
    </xf>
    <xf numFmtId="43" fontId="6" fillId="4" borderId="1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43" fontId="7" fillId="4" borderId="1" xfId="1" applyNumberFormat="1" applyFont="1" applyFill="1" applyBorder="1" applyAlignment="1">
      <alignment horizontal="left" vertical="center"/>
    </xf>
    <xf numFmtId="43" fontId="6" fillId="4" borderId="8" xfId="1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43" fontId="6" fillId="4" borderId="40" xfId="0" applyNumberFormat="1" applyFont="1" applyFill="1" applyBorder="1" applyAlignment="1">
      <alignment vertical="center"/>
    </xf>
    <xf numFmtId="43" fontId="6" fillId="4" borderId="8" xfId="0" applyNumberFormat="1" applyFont="1" applyFill="1" applyBorder="1" applyAlignment="1">
      <alignment vertical="center"/>
    </xf>
    <xf numFmtId="43" fontId="6" fillId="4" borderId="8" xfId="0" applyNumberFormat="1" applyFont="1" applyFill="1" applyBorder="1" applyAlignment="1">
      <alignment horizontal="center" vertical="center"/>
    </xf>
    <xf numFmtId="43" fontId="6" fillId="4" borderId="40" xfId="0" applyNumberFormat="1" applyFont="1" applyFill="1" applyBorder="1" applyAlignment="1">
      <alignment horizontal="center" vertical="center"/>
    </xf>
    <xf numFmtId="43" fontId="6" fillId="4" borderId="8" xfId="1" applyNumberFormat="1" applyFont="1" applyFill="1" applyBorder="1" applyAlignment="1">
      <alignment vertical="center"/>
    </xf>
    <xf numFmtId="43" fontId="7" fillId="4" borderId="1" xfId="1" applyNumberFormat="1" applyFont="1" applyFill="1" applyBorder="1" applyAlignment="1">
      <alignment horizontal="left" vertical="center" wrapText="1"/>
    </xf>
    <xf numFmtId="43" fontId="6" fillId="4" borderId="44" xfId="0" applyNumberFormat="1" applyFont="1" applyFill="1" applyBorder="1" applyAlignment="1">
      <alignment vertical="center"/>
    </xf>
    <xf numFmtId="43" fontId="7" fillId="4" borderId="0" xfId="1" applyNumberFormat="1" applyFont="1" applyFill="1" applyBorder="1" applyAlignment="1">
      <alignment horizontal="left" vertical="center"/>
    </xf>
    <xf numFmtId="43" fontId="6" fillId="4" borderId="0" xfId="0" applyNumberFormat="1" applyFont="1" applyFill="1" applyBorder="1" applyAlignment="1">
      <alignment horizontal="center" vertical="center"/>
    </xf>
    <xf numFmtId="43" fontId="6" fillId="4" borderId="0" xfId="1" applyFont="1" applyFill="1" applyAlignment="1">
      <alignment vertical="center"/>
    </xf>
    <xf numFmtId="43" fontId="6" fillId="4" borderId="1" xfId="0" applyNumberFormat="1" applyFont="1" applyFill="1" applyBorder="1" applyAlignment="1">
      <alignment horizontal="left" vertical="center"/>
    </xf>
    <xf numFmtId="0" fontId="6" fillId="4" borderId="8" xfId="0" applyFont="1" applyFill="1" applyBorder="1" applyAlignment="1">
      <alignment vertical="center"/>
    </xf>
    <xf numFmtId="0" fontId="6" fillId="4" borderId="40" xfId="0" applyFont="1" applyFill="1" applyBorder="1" applyAlignment="1">
      <alignment vertical="center"/>
    </xf>
    <xf numFmtId="43" fontId="6" fillId="4" borderId="0" xfId="0" applyNumberFormat="1" applyFont="1" applyFill="1" applyAlignment="1">
      <alignment horizontal="left" vertical="center"/>
    </xf>
    <xf numFmtId="43" fontId="6" fillId="4" borderId="0" xfId="0" applyNumberFormat="1" applyFont="1" applyFill="1" applyAlignment="1">
      <alignment horizontal="center" vertical="center"/>
    </xf>
    <xf numFmtId="43" fontId="6" fillId="4" borderId="0" xfId="1" applyNumberFormat="1" applyFont="1" applyFill="1" applyAlignment="1">
      <alignment vertical="center"/>
    </xf>
    <xf numFmtId="43" fontId="6" fillId="4" borderId="0" xfId="1" applyFont="1" applyFill="1" applyBorder="1" applyAlignment="1">
      <alignment vertical="center"/>
    </xf>
    <xf numFmtId="43" fontId="7" fillId="4" borderId="1" xfId="1" applyNumberFormat="1" applyFont="1" applyFill="1" applyBorder="1" applyAlignment="1">
      <alignment vertical="center"/>
    </xf>
    <xf numFmtId="43" fontId="7" fillId="4" borderId="40" xfId="1" applyNumberFormat="1" applyFont="1" applyFill="1" applyBorder="1" applyAlignment="1">
      <alignment vertical="center"/>
    </xf>
    <xf numFmtId="43" fontId="7" fillId="4" borderId="8" xfId="1" applyFont="1" applyFill="1" applyBorder="1" applyAlignment="1">
      <alignment vertical="center"/>
    </xf>
    <xf numFmtId="43" fontId="7" fillId="4" borderId="1" xfId="0" applyNumberFormat="1" applyFont="1" applyFill="1" applyBorder="1" applyAlignment="1">
      <alignment vertical="center"/>
    </xf>
    <xf numFmtId="43" fontId="7" fillId="4" borderId="40" xfId="0" applyNumberFormat="1" applyFont="1" applyFill="1" applyBorder="1" applyAlignment="1">
      <alignment vertical="center"/>
    </xf>
    <xf numFmtId="0" fontId="7" fillId="4" borderId="8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43" fontId="7" fillId="4" borderId="1" xfId="0" applyNumberFormat="1" applyFont="1" applyFill="1" applyBorder="1" applyAlignment="1">
      <alignment horizontal="left" vertical="center"/>
    </xf>
    <xf numFmtId="43" fontId="7" fillId="4" borderId="25" xfId="0" applyNumberFormat="1" applyFont="1" applyFill="1" applyBorder="1" applyAlignment="1">
      <alignment horizontal="left" vertical="center"/>
    </xf>
    <xf numFmtId="43" fontId="7" fillId="4" borderId="25" xfId="0" applyNumberFormat="1" applyFont="1" applyFill="1" applyBorder="1" applyAlignment="1">
      <alignment vertical="center"/>
    </xf>
    <xf numFmtId="43" fontId="7" fillId="4" borderId="41" xfId="0" applyNumberFormat="1" applyFont="1" applyFill="1" applyBorder="1" applyAlignment="1">
      <alignment vertical="center"/>
    </xf>
    <xf numFmtId="43" fontId="7" fillId="4" borderId="25" xfId="1" applyFont="1" applyFill="1" applyBorder="1" applyAlignment="1">
      <alignment vertical="center"/>
    </xf>
    <xf numFmtId="0" fontId="7" fillId="4" borderId="25" xfId="0" applyFont="1" applyFill="1" applyBorder="1" applyAlignment="1">
      <alignment vertical="center"/>
    </xf>
    <xf numFmtId="43" fontId="7" fillId="4" borderId="0" xfId="0" applyNumberFormat="1" applyFont="1" applyFill="1" applyBorder="1" applyAlignment="1">
      <alignment vertical="center"/>
    </xf>
    <xf numFmtId="43" fontId="7" fillId="4" borderId="0" xfId="0" applyNumberFormat="1" applyFont="1" applyFill="1" applyBorder="1" applyAlignment="1">
      <alignment horizontal="center" vertical="center"/>
    </xf>
    <xf numFmtId="43" fontId="7" fillId="4" borderId="0" xfId="1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43" fontId="7" fillId="4" borderId="39" xfId="0" applyNumberFormat="1" applyFont="1" applyFill="1" applyBorder="1" applyAlignment="1">
      <alignment vertical="center"/>
    </xf>
    <xf numFmtId="43" fontId="7" fillId="4" borderId="0" xfId="1" applyFont="1" applyFill="1" applyAlignment="1">
      <alignment vertical="center"/>
    </xf>
    <xf numFmtId="43" fontId="7" fillId="4" borderId="0" xfId="0" applyNumberFormat="1" applyFont="1" applyFill="1" applyAlignment="1">
      <alignment vertical="center"/>
    </xf>
    <xf numFmtId="43" fontId="7" fillId="4" borderId="1" xfId="0" applyNumberFormat="1" applyFont="1" applyFill="1" applyBorder="1" applyAlignment="1">
      <alignment horizontal="center" vertical="center"/>
    </xf>
    <xf numFmtId="43" fontId="7" fillId="4" borderId="40" xfId="0" applyNumberFormat="1" applyFont="1" applyFill="1" applyBorder="1" applyAlignment="1">
      <alignment horizontal="center" vertical="center"/>
    </xf>
    <xf numFmtId="43" fontId="7" fillId="4" borderId="0" xfId="0" applyNumberFormat="1" applyFont="1" applyFill="1" applyAlignment="1">
      <alignment horizontal="left" vertical="center"/>
    </xf>
    <xf numFmtId="43" fontId="7" fillId="4" borderId="0" xfId="0" applyNumberFormat="1" applyFont="1" applyFill="1" applyAlignment="1">
      <alignment horizontal="center" vertical="center"/>
    </xf>
    <xf numFmtId="43" fontId="7" fillId="4" borderId="39" xfId="1" applyNumberFormat="1" applyFont="1" applyFill="1" applyBorder="1" applyAlignment="1">
      <alignment vertical="center"/>
    </xf>
    <xf numFmtId="43" fontId="7" fillId="4" borderId="7" xfId="0" applyNumberFormat="1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vertical="center" wrapText="1"/>
    </xf>
    <xf numFmtId="43" fontId="6" fillId="4" borderId="1" xfId="1" applyFont="1" applyFill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43" fontId="6" fillId="0" borderId="0" xfId="0" applyNumberFormat="1" applyFont="1" applyAlignment="1">
      <alignment vertical="center"/>
    </xf>
    <xf numFmtId="43" fontId="6" fillId="0" borderId="0" xfId="0" applyNumberFormat="1" applyFont="1" applyFill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center" vertical="center"/>
    </xf>
    <xf numFmtId="43" fontId="10" fillId="4" borderId="0" xfId="0" applyNumberFormat="1" applyFont="1" applyFill="1" applyAlignment="1">
      <alignment vertical="center"/>
    </xf>
    <xf numFmtId="43" fontId="6" fillId="0" borderId="0" xfId="1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43" fontId="10" fillId="0" borderId="0" xfId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43" fontId="7" fillId="0" borderId="1" xfId="1" applyFont="1" applyFill="1" applyBorder="1" applyAlignment="1">
      <alignment horizontal="center" vertical="center"/>
    </xf>
    <xf numFmtId="43" fontId="7" fillId="0" borderId="7" xfId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/>
    </xf>
    <xf numFmtId="43" fontId="7" fillId="0" borderId="0" xfId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43" fontId="7" fillId="4" borderId="1" xfId="1" applyFont="1" applyFill="1" applyBorder="1" applyAlignment="1">
      <alignment vertical="center"/>
    </xf>
    <xf numFmtId="43" fontId="7" fillId="0" borderId="1" xfId="1" applyFont="1" applyFill="1" applyBorder="1" applyAlignment="1">
      <alignment vertical="center"/>
    </xf>
    <xf numFmtId="43" fontId="7" fillId="0" borderId="0" xfId="1" applyFont="1" applyFill="1" applyAlignment="1">
      <alignment vertical="center"/>
    </xf>
    <xf numFmtId="43" fontId="7" fillId="4" borderId="1" xfId="1" applyFont="1" applyFill="1" applyBorder="1" applyAlignment="1">
      <alignment horizontal="center" vertical="center" wrapText="1"/>
    </xf>
    <xf numFmtId="2" fontId="7" fillId="0" borderId="0" xfId="0" applyNumberFormat="1" applyFont="1" applyFill="1" applyAlignment="1">
      <alignment vertical="center"/>
    </xf>
    <xf numFmtId="0" fontId="7" fillId="0" borderId="1" xfId="0" applyFont="1" applyFill="1" applyBorder="1" applyAlignment="1">
      <alignment vertical="center" wrapText="1"/>
    </xf>
    <xf numFmtId="43" fontId="7" fillId="4" borderId="1" xfId="1" applyFont="1" applyFill="1" applyBorder="1" applyAlignment="1">
      <alignment horizontal="right" vertical="center"/>
    </xf>
    <xf numFmtId="0" fontId="7" fillId="0" borderId="6" xfId="0" applyFont="1" applyFill="1" applyBorder="1" applyAlignment="1">
      <alignment vertical="center"/>
    </xf>
    <xf numFmtId="43" fontId="7" fillId="4" borderId="6" xfId="1" applyFont="1" applyFill="1" applyBorder="1" applyAlignment="1">
      <alignment vertical="center"/>
    </xf>
    <xf numFmtId="2" fontId="10" fillId="0" borderId="2" xfId="0" applyNumberFormat="1" applyFont="1" applyFill="1" applyBorder="1" applyAlignment="1">
      <alignment horizontal="center" vertical="center"/>
    </xf>
    <xf numFmtId="43" fontId="10" fillId="0" borderId="2" xfId="1" applyFont="1" applyFill="1" applyBorder="1" applyAlignment="1">
      <alignment vertical="center"/>
    </xf>
    <xf numFmtId="43" fontId="10" fillId="0" borderId="0" xfId="1" applyFont="1" applyFill="1" applyAlignment="1">
      <alignment vertical="center"/>
    </xf>
    <xf numFmtId="2" fontId="10" fillId="0" borderId="0" xfId="0" applyNumberFormat="1" applyFont="1" applyFill="1" applyAlignment="1">
      <alignment vertical="center"/>
    </xf>
    <xf numFmtId="2" fontId="10" fillId="0" borderId="0" xfId="0" applyNumberFormat="1" applyFont="1" applyFill="1" applyBorder="1" applyAlignment="1">
      <alignment horizontal="center" vertical="center"/>
    </xf>
    <xf numFmtId="43" fontId="10" fillId="0" borderId="0" xfId="1" applyFont="1" applyFill="1" applyBorder="1" applyAlignment="1">
      <alignment vertical="center"/>
    </xf>
    <xf numFmtId="188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horizontal="left" vertical="center"/>
    </xf>
    <xf numFmtId="2" fontId="10" fillId="0" borderId="0" xfId="0" applyNumberFormat="1" applyFont="1" applyFill="1" applyBorder="1" applyAlignment="1">
      <alignment vertical="center"/>
    </xf>
    <xf numFmtId="2" fontId="6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horizontal="left" vertical="center"/>
    </xf>
    <xf numFmtId="43" fontId="12" fillId="0" borderId="0" xfId="1" applyFont="1" applyFill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2" borderId="7" xfId="0" applyFont="1" applyFill="1" applyBorder="1" applyAlignment="1">
      <alignment vertical="center"/>
    </xf>
    <xf numFmtId="43" fontId="7" fillId="0" borderId="0" xfId="0" applyNumberFormat="1" applyFont="1" applyFill="1" applyAlignment="1">
      <alignment vertical="center"/>
    </xf>
    <xf numFmtId="0" fontId="14" fillId="0" borderId="7" xfId="0" applyFont="1" applyFill="1" applyBorder="1" applyAlignment="1">
      <alignment vertical="center"/>
    </xf>
    <xf numFmtId="188" fontId="7" fillId="0" borderId="0" xfId="0" applyNumberFormat="1" applyFont="1" applyFill="1" applyAlignment="1">
      <alignment vertical="center"/>
    </xf>
    <xf numFmtId="0" fontId="14" fillId="0" borderId="1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43" fontId="14" fillId="0" borderId="0" xfId="0" applyNumberFormat="1" applyFont="1" applyFill="1" applyBorder="1" applyAlignment="1">
      <alignment vertical="center"/>
    </xf>
    <xf numFmtId="43" fontId="14" fillId="0" borderId="0" xfId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43" fontId="6" fillId="0" borderId="0" xfId="0" applyNumberFormat="1" applyFont="1" applyAlignment="1">
      <alignment horizontal="right" vertical="center"/>
    </xf>
    <xf numFmtId="43" fontId="6" fillId="0" borderId="0" xfId="1" applyFont="1" applyFill="1" applyBorder="1" applyAlignment="1">
      <alignment vertical="center"/>
    </xf>
    <xf numFmtId="43" fontId="6" fillId="0" borderId="1" xfId="1" applyFont="1" applyFill="1" applyBorder="1" applyAlignment="1">
      <alignment vertical="center"/>
    </xf>
    <xf numFmtId="189" fontId="6" fillId="0" borderId="1" xfId="0" applyNumberFormat="1" applyFont="1" applyFill="1" applyBorder="1" applyAlignment="1">
      <alignment vertical="center"/>
    </xf>
    <xf numFmtId="43" fontId="6" fillId="0" borderId="1" xfId="1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43" fontId="6" fillId="0" borderId="0" xfId="1" applyFont="1" applyFill="1" applyBorder="1" applyAlignment="1">
      <alignment horizontal="center" vertical="center"/>
    </xf>
    <xf numFmtId="189" fontId="6" fillId="0" borderId="0" xfId="0" applyNumberFormat="1" applyFont="1" applyFill="1" applyBorder="1" applyAlignment="1">
      <alignment vertical="center"/>
    </xf>
    <xf numFmtId="43" fontId="6" fillId="0" borderId="0" xfId="0" applyNumberFormat="1" applyFont="1" applyAlignment="1">
      <alignment vertical="center" wrapText="1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89" fontId="6" fillId="0" borderId="10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189" fontId="6" fillId="0" borderId="17" xfId="0" applyNumberFormat="1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center" vertical="center"/>
    </xf>
    <xf numFmtId="43" fontId="10" fillId="0" borderId="2" xfId="0" applyNumberFormat="1" applyFont="1" applyFill="1" applyBorder="1" applyAlignment="1">
      <alignment vertical="center"/>
    </xf>
    <xf numFmtId="189" fontId="10" fillId="0" borderId="18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0" fontId="23" fillId="4" borderId="0" xfId="0" applyFont="1" applyFill="1" applyAlignment="1">
      <alignment horizontal="left" vertical="center"/>
    </xf>
    <xf numFmtId="43" fontId="23" fillId="4" borderId="0" xfId="1" applyFont="1" applyFill="1" applyAlignment="1">
      <alignment horizontal="left" vertical="center"/>
    </xf>
    <xf numFmtId="0" fontId="23" fillId="4" borderId="0" xfId="0" applyFont="1" applyFill="1" applyAlignment="1">
      <alignment vertical="center"/>
    </xf>
    <xf numFmtId="0" fontId="8" fillId="4" borderId="0" xfId="0" applyFont="1" applyFill="1" applyAlignment="1">
      <alignment horizontal="left" vertical="center"/>
    </xf>
    <xf numFmtId="43" fontId="8" fillId="4" borderId="0" xfId="1" applyFont="1" applyFill="1" applyAlignment="1">
      <alignment horizontal="left" vertical="center"/>
    </xf>
    <xf numFmtId="0" fontId="24" fillId="4" borderId="0" xfId="0" applyFont="1" applyFill="1" applyBorder="1" applyAlignment="1">
      <alignment horizontal="left" vertical="center"/>
    </xf>
    <xf numFmtId="43" fontId="24" fillId="4" borderId="0" xfId="1" applyFont="1" applyFill="1" applyAlignment="1">
      <alignment vertical="center"/>
    </xf>
    <xf numFmtId="0" fontId="24" fillId="4" borderId="0" xfId="0" applyFont="1" applyFill="1" applyAlignment="1">
      <alignment vertical="center"/>
    </xf>
    <xf numFmtId="0" fontId="6" fillId="4" borderId="0" xfId="0" applyFont="1" applyFill="1" applyBorder="1" applyAlignment="1">
      <alignment vertical="center"/>
    </xf>
    <xf numFmtId="43" fontId="6" fillId="4" borderId="1" xfId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43" fontId="6" fillId="4" borderId="7" xfId="1" applyFont="1" applyFill="1" applyBorder="1" applyAlignment="1">
      <alignment horizontal="right" vertical="center"/>
    </xf>
    <xf numFmtId="187" fontId="6" fillId="4" borderId="7" xfId="1" applyNumberFormat="1" applyFont="1" applyFill="1" applyBorder="1" applyAlignment="1">
      <alignment horizontal="right" vertical="center"/>
    </xf>
    <xf numFmtId="43" fontId="7" fillId="4" borderId="1" xfId="0" applyNumberFormat="1" applyFont="1" applyFill="1" applyBorder="1" applyAlignment="1">
      <alignment vertical="top" wrapText="1"/>
    </xf>
    <xf numFmtId="43" fontId="7" fillId="4" borderId="1" xfId="0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vertical="center"/>
    </xf>
    <xf numFmtId="43" fontId="6" fillId="4" borderId="6" xfId="1" applyFont="1" applyFill="1" applyBorder="1" applyAlignment="1">
      <alignment horizontal="right" vertical="center"/>
    </xf>
    <xf numFmtId="187" fontId="6" fillId="4" borderId="16" xfId="1" applyNumberFormat="1" applyFont="1" applyFill="1" applyBorder="1" applyAlignment="1">
      <alignment horizontal="right" vertical="center"/>
    </xf>
    <xf numFmtId="43" fontId="10" fillId="4" borderId="2" xfId="1" applyFont="1" applyFill="1" applyBorder="1" applyAlignment="1">
      <alignment horizontal="left" vertical="center"/>
    </xf>
    <xf numFmtId="0" fontId="25" fillId="4" borderId="0" xfId="0" applyFont="1" applyFill="1" applyBorder="1" applyAlignment="1">
      <alignment vertical="center"/>
    </xf>
    <xf numFmtId="0" fontId="25" fillId="4" borderId="0" xfId="0" applyFont="1" applyFill="1" applyAlignment="1">
      <alignment vertical="center"/>
    </xf>
    <xf numFmtId="0" fontId="26" fillId="4" borderId="0" xfId="0" applyFont="1" applyFill="1" applyBorder="1" applyAlignment="1">
      <alignment vertical="center"/>
    </xf>
    <xf numFmtId="0" fontId="26" fillId="4" borderId="0" xfId="0" applyFont="1" applyFill="1" applyAlignment="1">
      <alignment vertical="center"/>
    </xf>
    <xf numFmtId="0" fontId="27" fillId="4" borderId="0" xfId="0" applyFont="1" applyFill="1" applyBorder="1" applyAlignment="1">
      <alignment horizontal="left" vertical="center"/>
    </xf>
    <xf numFmtId="0" fontId="27" fillId="4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43" fontId="7" fillId="0" borderId="0" xfId="1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29" fillId="0" borderId="0" xfId="0" applyFont="1" applyFill="1" applyAlignment="1">
      <alignment vertical="center"/>
    </xf>
    <xf numFmtId="0" fontId="29" fillId="0" borderId="0" xfId="0" applyFont="1" applyFill="1" applyAlignment="1">
      <alignment horizontal="left" vertical="center"/>
    </xf>
    <xf numFmtId="43" fontId="29" fillId="0" borderId="0" xfId="1" applyFont="1" applyFill="1" applyAlignment="1">
      <alignment vertical="center"/>
    </xf>
    <xf numFmtId="43" fontId="29" fillId="0" borderId="0" xfId="0" applyNumberFormat="1" applyFont="1" applyFill="1" applyAlignment="1">
      <alignment vertical="center"/>
    </xf>
    <xf numFmtId="43" fontId="7" fillId="0" borderId="1" xfId="1" applyNumberFormat="1" applyFont="1" applyFill="1" applyBorder="1" applyAlignment="1">
      <alignment horizontal="center" vertical="center"/>
    </xf>
    <xf numFmtId="43" fontId="7" fillId="0" borderId="7" xfId="1" applyNumberFormat="1" applyFont="1" applyFill="1" applyBorder="1" applyAlignment="1">
      <alignment horizontal="center" vertical="center"/>
    </xf>
    <xf numFmtId="43" fontId="7" fillId="0" borderId="1" xfId="1" applyNumberFormat="1" applyFont="1" applyFill="1" applyBorder="1" applyAlignment="1">
      <alignment horizontal="left" vertical="center"/>
    </xf>
    <xf numFmtId="43" fontId="7" fillId="0" borderId="7" xfId="1" applyNumberFormat="1" applyFont="1" applyFill="1" applyBorder="1" applyAlignment="1">
      <alignment horizontal="left" vertical="center"/>
    </xf>
    <xf numFmtId="43" fontId="7" fillId="0" borderId="1" xfId="0" applyNumberFormat="1" applyFont="1" applyFill="1" applyBorder="1" applyAlignment="1">
      <alignment horizontal="left" vertical="center"/>
    </xf>
    <xf numFmtId="0" fontId="7" fillId="0" borderId="16" xfId="0" applyFont="1" applyFill="1" applyBorder="1" applyAlignment="1">
      <alignment vertical="center"/>
    </xf>
    <xf numFmtId="43" fontId="7" fillId="0" borderId="6" xfId="1" applyNumberFormat="1" applyFont="1" applyFill="1" applyBorder="1" applyAlignment="1">
      <alignment vertical="center"/>
    </xf>
    <xf numFmtId="43" fontId="7" fillId="0" borderId="16" xfId="1" applyNumberFormat="1" applyFont="1" applyFill="1" applyBorder="1" applyAlignment="1">
      <alignment vertical="center"/>
    </xf>
    <xf numFmtId="43" fontId="7" fillId="0" borderId="1" xfId="1" applyNumberFormat="1" applyFont="1" applyFill="1" applyBorder="1" applyAlignment="1">
      <alignment vertical="center"/>
    </xf>
    <xf numFmtId="187" fontId="7" fillId="0" borderId="7" xfId="0" applyNumberFormat="1" applyFont="1" applyFill="1" applyBorder="1" applyAlignment="1">
      <alignment vertical="center"/>
    </xf>
    <xf numFmtId="43" fontId="7" fillId="0" borderId="8" xfId="0" applyNumberFormat="1" applyFont="1" applyFill="1" applyBorder="1" applyAlignment="1">
      <alignment horizontal="left" vertical="center"/>
    </xf>
    <xf numFmtId="43" fontId="7" fillId="0" borderId="9" xfId="1" applyNumberFormat="1" applyFont="1" applyFill="1" applyBorder="1" applyAlignment="1">
      <alignment vertical="center"/>
    </xf>
    <xf numFmtId="43" fontId="7" fillId="4" borderId="7" xfId="1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43" fontId="8" fillId="0" borderId="0" xfId="1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43" fontId="8" fillId="0" borderId="0" xfId="1" applyFont="1" applyFill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43" fontId="12" fillId="0" borderId="0" xfId="1" applyFont="1" applyFill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187" fontId="14" fillId="0" borderId="1" xfId="1" applyNumberFormat="1" applyFont="1" applyFill="1" applyBorder="1" applyAlignment="1">
      <alignment horizontal="center" vertical="center" wrapText="1"/>
    </xf>
    <xf numFmtId="43" fontId="14" fillId="0" borderId="1" xfId="1" applyFont="1" applyFill="1" applyBorder="1" applyAlignment="1">
      <alignment horizontal="center" vertical="center" wrapText="1"/>
    </xf>
    <xf numFmtId="43" fontId="14" fillId="0" borderId="0" xfId="1" applyFont="1" applyFill="1" applyAlignment="1">
      <alignment vertical="center"/>
    </xf>
    <xf numFmtId="187" fontId="14" fillId="0" borderId="1" xfId="1" applyNumberFormat="1" applyFont="1" applyFill="1" applyBorder="1" applyAlignment="1">
      <alignment vertical="center"/>
    </xf>
    <xf numFmtId="43" fontId="14" fillId="0" borderId="1" xfId="1" applyFont="1" applyFill="1" applyBorder="1" applyAlignment="1">
      <alignment vertical="center"/>
    </xf>
    <xf numFmtId="43" fontId="14" fillId="4" borderId="1" xfId="1" applyFont="1" applyFill="1" applyBorder="1" applyAlignment="1">
      <alignment vertical="center"/>
    </xf>
    <xf numFmtId="187" fontId="7" fillId="0" borderId="1" xfId="1" applyNumberFormat="1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left" vertical="center"/>
    </xf>
    <xf numFmtId="187" fontId="7" fillId="0" borderId="1" xfId="1" applyNumberFormat="1" applyFont="1" applyFill="1" applyBorder="1" applyAlignment="1">
      <alignment horizontal="center" vertical="center"/>
    </xf>
    <xf numFmtId="187" fontId="7" fillId="0" borderId="1" xfId="1" applyNumberFormat="1" applyFont="1" applyFill="1" applyBorder="1" applyAlignment="1">
      <alignment vertical="center"/>
    </xf>
    <xf numFmtId="43" fontId="7" fillId="0" borderId="1" xfId="1" applyFont="1" applyFill="1" applyBorder="1" applyAlignment="1">
      <alignment horizontal="right" vertical="center"/>
    </xf>
    <xf numFmtId="187" fontId="7" fillId="4" borderId="1" xfId="1" applyNumberFormat="1" applyFont="1" applyFill="1" applyBorder="1" applyAlignment="1">
      <alignment horizontal="center" vertical="center"/>
    </xf>
    <xf numFmtId="43" fontId="14" fillId="0" borderId="0" xfId="1" applyFont="1" applyFill="1" applyBorder="1" applyAlignment="1">
      <alignment vertical="center"/>
    </xf>
    <xf numFmtId="43" fontId="7" fillId="0" borderId="0" xfId="1" applyFont="1" applyFill="1" applyBorder="1" applyAlignment="1">
      <alignment vertical="center"/>
    </xf>
    <xf numFmtId="43" fontId="7" fillId="0" borderId="0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right" vertical="center"/>
    </xf>
    <xf numFmtId="43" fontId="14" fillId="4" borderId="0" xfId="1" applyFont="1" applyFill="1" applyAlignment="1">
      <alignment vertical="center"/>
    </xf>
    <xf numFmtId="187" fontId="14" fillId="4" borderId="1" xfId="1" applyNumberFormat="1" applyFont="1" applyFill="1" applyBorder="1" applyAlignment="1">
      <alignment horizontal="center" vertical="center" wrapText="1"/>
    </xf>
    <xf numFmtId="187" fontId="14" fillId="4" borderId="1" xfId="1" applyNumberFormat="1" applyFont="1" applyFill="1" applyBorder="1" applyAlignment="1">
      <alignment vertical="center"/>
    </xf>
    <xf numFmtId="187" fontId="7" fillId="4" borderId="1" xfId="1" applyNumberFormat="1" applyFont="1" applyFill="1" applyBorder="1" applyAlignment="1">
      <alignment horizontal="center" vertical="center" wrapText="1"/>
    </xf>
    <xf numFmtId="187" fontId="7" fillId="4" borderId="1" xfId="1" applyNumberFormat="1" applyFont="1" applyFill="1" applyBorder="1" applyAlignment="1">
      <alignment vertical="center"/>
    </xf>
    <xf numFmtId="43" fontId="31" fillId="4" borderId="1" xfId="1" applyFont="1" applyFill="1" applyBorder="1" applyAlignment="1">
      <alignment vertical="center"/>
    </xf>
    <xf numFmtId="43" fontId="14" fillId="4" borderId="0" xfId="1" applyFont="1" applyFill="1" applyBorder="1" applyAlignment="1">
      <alignment vertical="center"/>
    </xf>
    <xf numFmtId="43" fontId="7" fillId="4" borderId="6" xfId="1" applyFont="1" applyFill="1" applyBorder="1" applyAlignment="1">
      <alignment horizontal="right" vertical="center"/>
    </xf>
    <xf numFmtId="43" fontId="7" fillId="4" borderId="6" xfId="1" applyFont="1" applyFill="1" applyBorder="1" applyAlignment="1">
      <alignment horizontal="center" vertical="center"/>
    </xf>
    <xf numFmtId="43" fontId="7" fillId="4" borderId="0" xfId="1" applyFont="1" applyFill="1" applyBorder="1" applyAlignment="1">
      <alignment horizontal="center" vertical="center"/>
    </xf>
    <xf numFmtId="187" fontId="7" fillId="4" borderId="0" xfId="1" applyNumberFormat="1" applyFont="1" applyFill="1" applyBorder="1" applyAlignment="1">
      <alignment horizontal="center" vertical="center"/>
    </xf>
    <xf numFmtId="187" fontId="7" fillId="4" borderId="11" xfId="1" applyNumberFormat="1" applyFont="1" applyFill="1" applyBorder="1" applyAlignment="1">
      <alignment horizontal="center" vertical="center"/>
    </xf>
    <xf numFmtId="0" fontId="22" fillId="0" borderId="1" xfId="0" applyFont="1" applyBorder="1"/>
    <xf numFmtId="0" fontId="7" fillId="0" borderId="1" xfId="0" applyFont="1" applyBorder="1"/>
    <xf numFmtId="0" fontId="7" fillId="0" borderId="0" xfId="0" applyFont="1"/>
    <xf numFmtId="0" fontId="7" fillId="5" borderId="1" xfId="0" applyFont="1" applyFill="1" applyBorder="1"/>
    <xf numFmtId="43" fontId="7" fillId="0" borderId="1" xfId="1" applyFont="1" applyBorder="1"/>
    <xf numFmtId="43" fontId="7" fillId="0" borderId="1" xfId="0" applyNumberFormat="1" applyFont="1" applyBorder="1"/>
    <xf numFmtId="43" fontId="7" fillId="0" borderId="0" xfId="0" applyNumberFormat="1" applyFont="1"/>
    <xf numFmtId="0" fontId="14" fillId="4" borderId="1" xfId="0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left" vertical="center" wrapText="1"/>
    </xf>
    <xf numFmtId="0" fontId="32" fillId="6" borderId="1" xfId="0" applyFont="1" applyFill="1" applyBorder="1" applyAlignment="1">
      <alignment horizontal="center" vertical="center" wrapText="1"/>
    </xf>
    <xf numFmtId="0" fontId="33" fillId="6" borderId="1" xfId="0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7" fillId="6" borderId="1" xfId="0" applyFont="1" applyFill="1" applyBorder="1" applyAlignment="1">
      <alignment horizontal="center" vertical="center" wrapText="1"/>
    </xf>
    <xf numFmtId="3" fontId="33" fillId="6" borderId="1" xfId="0" applyNumberFormat="1" applyFont="1" applyFill="1" applyBorder="1" applyAlignment="1">
      <alignment horizontal="center" vertical="center" wrapText="1"/>
    </xf>
    <xf numFmtId="43" fontId="7" fillId="4" borderId="1" xfId="1" applyFont="1" applyFill="1" applyBorder="1"/>
    <xf numFmtId="0" fontId="14" fillId="5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vertical="center" wrapText="1"/>
    </xf>
    <xf numFmtId="43" fontId="15" fillId="4" borderId="1" xfId="1" applyFont="1" applyFill="1" applyBorder="1" applyAlignment="1">
      <alignment vertical="center"/>
    </xf>
    <xf numFmtId="43" fontId="15" fillId="4" borderId="1" xfId="1" applyFont="1" applyFill="1" applyBorder="1" applyAlignment="1">
      <alignment horizontal="right" vertical="center"/>
    </xf>
    <xf numFmtId="43" fontId="19" fillId="4" borderId="0" xfId="1" applyFont="1" applyFill="1" applyAlignment="1">
      <alignment horizontal="right" vertical="center"/>
    </xf>
    <xf numFmtId="43" fontId="11" fillId="4" borderId="0" xfId="1" applyFont="1" applyFill="1" applyAlignment="1">
      <alignment horizontal="right" vertical="center"/>
    </xf>
    <xf numFmtId="43" fontId="34" fillId="4" borderId="0" xfId="1" applyFont="1" applyFill="1" applyAlignment="1">
      <alignment horizontal="right" vertical="center"/>
    </xf>
    <xf numFmtId="43" fontId="11" fillId="4" borderId="0" xfId="1" applyFont="1" applyFill="1" applyBorder="1" applyAlignment="1">
      <alignment horizontal="left" vertical="center"/>
    </xf>
    <xf numFmtId="43" fontId="15" fillId="4" borderId="0" xfId="1" applyFont="1" applyFill="1" applyAlignment="1">
      <alignment horizontal="right" vertical="center"/>
    </xf>
    <xf numFmtId="43" fontId="20" fillId="4" borderId="0" xfId="1" applyFont="1" applyFill="1" applyAlignment="1">
      <alignment vertical="center"/>
    </xf>
    <xf numFmtId="43" fontId="6" fillId="0" borderId="7" xfId="1" applyFont="1" applyFill="1" applyBorder="1" applyAlignment="1">
      <alignment horizontal="right" vertical="center"/>
    </xf>
    <xf numFmtId="0" fontId="21" fillId="0" borderId="0" xfId="0" applyFont="1" applyFill="1" applyAlignment="1">
      <alignment vertical="center"/>
    </xf>
    <xf numFmtId="0" fontId="21" fillId="0" borderId="0" xfId="0" applyFont="1" applyFill="1" applyAlignment="1">
      <alignment horizontal="left" vertical="center"/>
    </xf>
    <xf numFmtId="43" fontId="21" fillId="0" borderId="0" xfId="1" applyFont="1" applyFill="1" applyAlignment="1">
      <alignment vertical="center"/>
    </xf>
    <xf numFmtId="43" fontId="6" fillId="0" borderId="0" xfId="1" applyFont="1" applyFill="1" applyAlignment="1">
      <alignment horizontal="right" vertical="center"/>
    </xf>
    <xf numFmtId="43" fontId="9" fillId="4" borderId="0" xfId="1" applyFont="1" applyFill="1" applyAlignment="1">
      <alignment horizontal="left" vertical="center"/>
    </xf>
    <xf numFmtId="43" fontId="10" fillId="4" borderId="0" xfId="1" applyFont="1" applyFill="1" applyBorder="1" applyAlignment="1">
      <alignment vertical="center"/>
    </xf>
    <xf numFmtId="43" fontId="20" fillId="4" borderId="1" xfId="1" applyFont="1" applyFill="1" applyBorder="1" applyAlignment="1">
      <alignment vertical="center"/>
    </xf>
    <xf numFmtId="43" fontId="6" fillId="4" borderId="1" xfId="1" applyFont="1" applyFill="1" applyBorder="1" applyAlignment="1">
      <alignment vertical="center"/>
    </xf>
    <xf numFmtId="43" fontId="6" fillId="4" borderId="1" xfId="1" applyFont="1" applyFill="1" applyBorder="1" applyAlignment="1">
      <alignment horizontal="left" vertical="center"/>
    </xf>
    <xf numFmtId="43" fontId="10" fillId="4" borderId="3" xfId="1" applyFont="1" applyFill="1" applyBorder="1" applyAlignment="1">
      <alignment horizontal="center" vertical="center"/>
    </xf>
    <xf numFmtId="43" fontId="14" fillId="4" borderId="13" xfId="1" applyFont="1" applyFill="1" applyBorder="1" applyAlignment="1">
      <alignment vertical="center"/>
    </xf>
    <xf numFmtId="43" fontId="20" fillId="4" borderId="5" xfId="1" applyFont="1" applyFill="1" applyBorder="1" applyAlignment="1">
      <alignment vertical="center"/>
    </xf>
    <xf numFmtId="43" fontId="10" fillId="4" borderId="4" xfId="1" applyFont="1" applyFill="1" applyBorder="1" applyAlignment="1">
      <alignment horizontal="center" vertical="center"/>
    </xf>
    <xf numFmtId="43" fontId="10" fillId="4" borderId="2" xfId="1" applyFont="1" applyFill="1" applyBorder="1" applyAlignment="1">
      <alignment horizontal="center" vertical="center"/>
    </xf>
    <xf numFmtId="43" fontId="10" fillId="4" borderId="0" xfId="1" applyFont="1" applyFill="1" applyBorder="1" applyAlignment="1">
      <alignment horizontal="center" vertical="center"/>
    </xf>
    <xf numFmtId="43" fontId="10" fillId="4" borderId="0" xfId="1" applyFont="1" applyFill="1" applyBorder="1" applyAlignment="1">
      <alignment horizontal="left" vertical="center"/>
    </xf>
    <xf numFmtId="43" fontId="6" fillId="4" borderId="0" xfId="1" applyFont="1" applyFill="1" applyBorder="1" applyAlignment="1">
      <alignment horizontal="left" vertical="center"/>
    </xf>
    <xf numFmtId="43" fontId="23" fillId="4" borderId="0" xfId="1" applyFont="1" applyFill="1" applyBorder="1" applyAlignment="1">
      <alignment vertical="center"/>
    </xf>
    <xf numFmtId="43" fontId="6" fillId="4" borderId="0" xfId="1" applyFont="1" applyFill="1" applyBorder="1" applyAlignment="1">
      <alignment vertical="top"/>
    </xf>
    <xf numFmtId="43" fontId="8" fillId="4" borderId="0" xfId="1" applyFont="1" applyFill="1" applyBorder="1" applyAlignment="1">
      <alignment vertical="top"/>
    </xf>
    <xf numFmtId="43" fontId="8" fillId="4" borderId="0" xfId="1" applyFont="1" applyFill="1" applyBorder="1" applyAlignment="1">
      <alignment vertical="center"/>
    </xf>
    <xf numFmtId="43" fontId="9" fillId="4" borderId="0" xfId="1" applyFont="1" applyFill="1" applyBorder="1" applyAlignment="1">
      <alignment vertical="center"/>
    </xf>
    <xf numFmtId="43" fontId="24" fillId="4" borderId="0" xfId="1" applyFont="1" applyFill="1" applyBorder="1" applyAlignment="1">
      <alignment vertical="center"/>
    </xf>
    <xf numFmtId="43" fontId="21" fillId="4" borderId="0" xfId="1" applyFont="1" applyFill="1" applyBorder="1" applyAlignment="1">
      <alignment vertical="center"/>
    </xf>
    <xf numFmtId="43" fontId="30" fillId="4" borderId="0" xfId="1" applyFont="1" applyFill="1" applyBorder="1" applyAlignment="1">
      <alignment vertical="center"/>
    </xf>
    <xf numFmtId="0" fontId="3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3" fontId="18" fillId="0" borderId="32" xfId="1" applyFont="1" applyBorder="1" applyAlignment="1">
      <alignment horizontal="right" wrapText="1"/>
    </xf>
    <xf numFmtId="43" fontId="7" fillId="0" borderId="1" xfId="1" applyFont="1" applyFill="1" applyBorder="1"/>
    <xf numFmtId="43" fontId="7" fillId="0" borderId="1" xfId="1" applyNumberFormat="1" applyFont="1" applyFill="1" applyBorder="1"/>
    <xf numFmtId="0" fontId="14" fillId="5" borderId="1" xfId="0" applyFont="1" applyFill="1" applyBorder="1"/>
    <xf numFmtId="43" fontId="14" fillId="5" borderId="1" xfId="1" applyFont="1" applyFill="1" applyBorder="1"/>
    <xf numFmtId="43" fontId="14" fillId="5" borderId="1" xfId="0" applyNumberFormat="1" applyFont="1" applyFill="1" applyBorder="1"/>
    <xf numFmtId="0" fontId="22" fillId="0" borderId="1" xfId="0" applyFont="1" applyFill="1" applyBorder="1"/>
    <xf numFmtId="0" fontId="7" fillId="0" borderId="1" xfId="0" applyFont="1" applyFill="1" applyBorder="1"/>
    <xf numFmtId="43" fontId="7" fillId="0" borderId="1" xfId="0" applyNumberFormat="1" applyFont="1" applyFill="1" applyBorder="1"/>
    <xf numFmtId="0" fontId="7" fillId="0" borderId="0" xfId="0" applyFont="1" applyFill="1"/>
    <xf numFmtId="43" fontId="7" fillId="0" borderId="6" xfId="0" applyNumberFormat="1" applyFont="1" applyFill="1" applyBorder="1"/>
    <xf numFmtId="43" fontId="14" fillId="0" borderId="6" xfId="1" applyFont="1" applyFill="1" applyBorder="1"/>
    <xf numFmtId="43" fontId="7" fillId="0" borderId="6" xfId="1" applyFont="1" applyFill="1" applyBorder="1"/>
    <xf numFmtId="43" fontId="14" fillId="5" borderId="2" xfId="1" applyFont="1" applyFill="1" applyBorder="1"/>
    <xf numFmtId="0" fontId="7" fillId="0" borderId="6" xfId="0" applyFont="1" applyFill="1" applyBorder="1"/>
    <xf numFmtId="0" fontId="14" fillId="5" borderId="2" xfId="0" applyFont="1" applyFill="1" applyBorder="1"/>
    <xf numFmtId="43" fontId="14" fillId="0" borderId="1" xfId="1" applyFont="1" applyFill="1" applyBorder="1" applyAlignment="1">
      <alignment horizontal="center" vertical="center"/>
    </xf>
    <xf numFmtId="43" fontId="14" fillId="4" borderId="1" xfId="1" applyFont="1" applyFill="1" applyBorder="1" applyAlignment="1">
      <alignment horizontal="center" vertical="center"/>
    </xf>
    <xf numFmtId="43" fontId="7" fillId="4" borderId="1" xfId="1" applyFont="1" applyFill="1" applyBorder="1" applyAlignment="1">
      <alignment horizontal="left" vertical="center"/>
    </xf>
    <xf numFmtId="43" fontId="7" fillId="4" borderId="0" xfId="1" applyFont="1" applyFill="1" applyAlignment="1">
      <alignment horizontal="center" vertical="center"/>
    </xf>
    <xf numFmtId="43" fontId="7" fillId="4" borderId="0" xfId="1" applyFont="1" applyFill="1" applyBorder="1" applyAlignment="1">
      <alignment horizontal="left" vertical="center"/>
    </xf>
    <xf numFmtId="43" fontId="7" fillId="4" borderId="1" xfId="1" applyFont="1" applyFill="1" applyBorder="1" applyAlignment="1">
      <alignment horizontal="center" vertical="center"/>
    </xf>
    <xf numFmtId="43" fontId="7" fillId="0" borderId="1" xfId="1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9" fontId="7" fillId="0" borderId="13" xfId="0" applyNumberFormat="1" applyFont="1" applyBorder="1" applyAlignment="1">
      <alignment horizontal="center"/>
    </xf>
    <xf numFmtId="0" fontId="13" fillId="8" borderId="0" xfId="0" applyFont="1" applyFill="1"/>
    <xf numFmtId="43" fontId="6" fillId="0" borderId="6" xfId="1" applyFont="1" applyFill="1" applyBorder="1" applyAlignment="1">
      <alignment horizontal="left" vertical="center"/>
    </xf>
    <xf numFmtId="43" fontId="22" fillId="4" borderId="1" xfId="1" applyFont="1" applyFill="1" applyBorder="1" applyAlignment="1">
      <alignment horizontal="left" vertical="center"/>
    </xf>
    <xf numFmtId="43" fontId="14" fillId="4" borderId="3" xfId="1" applyFont="1" applyFill="1" applyBorder="1" applyAlignment="1">
      <alignment horizontal="center" vertical="center"/>
    </xf>
    <xf numFmtId="43" fontId="7" fillId="4" borderId="5" xfId="1" applyFont="1" applyFill="1" applyBorder="1" applyAlignment="1">
      <alignment horizontal="center" vertical="center"/>
    </xf>
    <xf numFmtId="43" fontId="7" fillId="4" borderId="5" xfId="1" applyFont="1" applyFill="1" applyBorder="1" applyAlignment="1">
      <alignment vertical="center"/>
    </xf>
    <xf numFmtId="43" fontId="14" fillId="4" borderId="4" xfId="1" applyFont="1" applyFill="1" applyBorder="1" applyAlignment="1">
      <alignment horizontal="center" vertical="center"/>
    </xf>
    <xf numFmtId="43" fontId="14" fillId="4" borderId="2" xfId="1" applyFont="1" applyFill="1" applyBorder="1" applyAlignment="1">
      <alignment horizontal="center" vertical="center"/>
    </xf>
    <xf numFmtId="43" fontId="14" fillId="4" borderId="5" xfId="1" applyFont="1" applyFill="1" applyBorder="1" applyAlignment="1">
      <alignment horizontal="center" vertical="center"/>
    </xf>
    <xf numFmtId="43" fontId="14" fillId="0" borderId="6" xfId="1" applyFont="1" applyFill="1" applyBorder="1" applyAlignment="1">
      <alignment horizontal="center" vertical="center"/>
    </xf>
    <xf numFmtId="43" fontId="7" fillId="0" borderId="6" xfId="1" applyFont="1" applyFill="1" applyBorder="1" applyAlignment="1">
      <alignment horizontal="center" vertical="center"/>
    </xf>
    <xf numFmtId="43" fontId="14" fillId="4" borderId="0" xfId="1" applyFont="1" applyFill="1" applyBorder="1" applyAlignment="1">
      <alignment horizontal="center" vertical="center"/>
    </xf>
    <xf numFmtId="43" fontId="14" fillId="4" borderId="0" xfId="1" applyFont="1" applyFill="1" applyBorder="1" applyAlignment="1">
      <alignment horizontal="right" vertical="center"/>
    </xf>
    <xf numFmtId="43" fontId="14" fillId="4" borderId="0" xfId="1" applyFont="1" applyFill="1" applyBorder="1" applyAlignment="1">
      <alignment horizontal="left" vertical="center"/>
    </xf>
    <xf numFmtId="43" fontId="14" fillId="4" borderId="0" xfId="1" applyFont="1" applyFill="1" applyAlignment="1">
      <alignment horizontal="center" vertical="center"/>
    </xf>
    <xf numFmtId="43" fontId="29" fillId="4" borderId="0" xfId="1" applyFont="1" applyFill="1" applyAlignment="1">
      <alignment horizontal="center" vertical="center"/>
    </xf>
    <xf numFmtId="43" fontId="29" fillId="4" borderId="0" xfId="1" applyFont="1" applyFill="1" applyAlignment="1">
      <alignment vertical="center"/>
    </xf>
    <xf numFmtId="43" fontId="6" fillId="4" borderId="6" xfId="1" applyFont="1" applyFill="1" applyBorder="1" applyAlignment="1">
      <alignment horizontal="left" vertical="center"/>
    </xf>
    <xf numFmtId="0" fontId="18" fillId="0" borderId="0" xfId="0" applyFont="1"/>
    <xf numFmtId="0" fontId="18" fillId="0" borderId="33" xfId="0" applyFont="1" applyBorder="1" applyAlignment="1">
      <alignment horizontal="right" wrapText="1"/>
    </xf>
    <xf numFmtId="0" fontId="18" fillId="0" borderId="0" xfId="0" applyFont="1" applyBorder="1" applyAlignment="1">
      <alignment horizontal="right" wrapText="1"/>
    </xf>
    <xf numFmtId="43" fontId="7" fillId="4" borderId="1" xfId="1" applyFont="1" applyFill="1" applyBorder="1" applyAlignment="1">
      <alignment horizontal="center" vertical="center"/>
    </xf>
    <xf numFmtId="43" fontId="23" fillId="4" borderId="25" xfId="0" applyNumberFormat="1" applyFont="1" applyFill="1" applyBorder="1" applyAlignment="1">
      <alignment vertical="center"/>
    </xf>
    <xf numFmtId="43" fontId="7" fillId="4" borderId="25" xfId="0" applyNumberFormat="1" applyFont="1" applyFill="1" applyBorder="1" applyAlignment="1">
      <alignment horizontal="center" vertical="center"/>
    </xf>
    <xf numFmtId="43" fontId="7" fillId="4" borderId="7" xfId="0" applyNumberFormat="1" applyFont="1" applyFill="1" applyBorder="1" applyAlignment="1">
      <alignment horizontal="center" vertical="center"/>
    </xf>
    <xf numFmtId="43" fontId="6" fillId="4" borderId="1" xfId="1" applyNumberFormat="1" applyFont="1" applyFill="1" applyBorder="1" applyAlignment="1">
      <alignment horizontal="center" vertical="center"/>
    </xf>
    <xf numFmtId="43" fontId="6" fillId="4" borderId="40" xfId="1" applyNumberFormat="1" applyFont="1" applyFill="1" applyBorder="1" applyAlignment="1">
      <alignment vertical="center"/>
    </xf>
    <xf numFmtId="43" fontId="12" fillId="4" borderId="1" xfId="1" applyNumberFormat="1" applyFont="1" applyFill="1" applyBorder="1" applyAlignment="1">
      <alignment horizontal="center" vertical="center"/>
    </xf>
    <xf numFmtId="43" fontId="7" fillId="4" borderId="1" xfId="1" applyNumberFormat="1" applyFont="1" applyFill="1" applyBorder="1" applyAlignment="1">
      <alignment horizontal="center" vertical="center"/>
    </xf>
    <xf numFmtId="43" fontId="14" fillId="4" borderId="1" xfId="0" applyNumberFormat="1" applyFont="1" applyFill="1" applyBorder="1" applyAlignment="1">
      <alignment vertical="center"/>
    </xf>
    <xf numFmtId="0" fontId="23" fillId="4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left" vertical="center"/>
    </xf>
    <xf numFmtId="43" fontId="7" fillId="4" borderId="0" xfId="0" applyNumberFormat="1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center" vertical="center"/>
    </xf>
    <xf numFmtId="43" fontId="6" fillId="4" borderId="0" xfId="1" applyFont="1" applyFill="1" applyAlignment="1">
      <alignment horizontal="center" vertical="center"/>
    </xf>
    <xf numFmtId="0" fontId="18" fillId="0" borderId="29" xfId="0" applyFont="1" applyBorder="1" applyAlignment="1">
      <alignment horizontal="center" wrapText="1"/>
    </xf>
    <xf numFmtId="0" fontId="18" fillId="0" borderId="26" xfId="0" applyFont="1" applyBorder="1" applyAlignment="1">
      <alignment horizontal="right" wrapText="1"/>
    </xf>
    <xf numFmtId="0" fontId="18" fillId="0" borderId="28" xfId="0" applyFont="1" applyBorder="1" applyAlignment="1">
      <alignment horizontal="right" wrapText="1"/>
    </xf>
    <xf numFmtId="0" fontId="18" fillId="0" borderId="27" xfId="0" applyFont="1" applyBorder="1" applyAlignment="1">
      <alignment horizontal="right" wrapText="1"/>
    </xf>
    <xf numFmtId="0" fontId="18" fillId="0" borderId="26" xfId="0" applyFont="1" applyBorder="1" applyAlignment="1">
      <alignment horizontal="left" wrapText="1"/>
    </xf>
    <xf numFmtId="0" fontId="10" fillId="4" borderId="0" xfId="0" applyFont="1" applyFill="1" applyAlignment="1">
      <alignment horizontal="center" vertical="center"/>
    </xf>
    <xf numFmtId="43" fontId="23" fillId="4" borderId="0" xfId="0" applyNumberFormat="1" applyFont="1" applyFill="1" applyAlignment="1">
      <alignment vertical="center"/>
    </xf>
    <xf numFmtId="43" fontId="10" fillId="4" borderId="0" xfId="0" applyNumberFormat="1" applyFont="1" applyFill="1" applyAlignment="1">
      <alignment horizontal="left" vertical="center"/>
    </xf>
    <xf numFmtId="43" fontId="23" fillId="4" borderId="0" xfId="1" applyNumberFormat="1" applyFont="1" applyFill="1" applyAlignment="1">
      <alignment vertical="center"/>
    </xf>
    <xf numFmtId="0" fontId="14" fillId="4" borderId="0" xfId="0" applyFont="1" applyFill="1" applyAlignment="1">
      <alignment horizontal="center" vertical="center"/>
    </xf>
    <xf numFmtId="0" fontId="14" fillId="4" borderId="25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vertical="center"/>
    </xf>
    <xf numFmtId="43" fontId="6" fillId="4" borderId="7" xfId="0" applyNumberFormat="1" applyFont="1" applyFill="1" applyBorder="1" applyAlignment="1">
      <alignment vertical="center"/>
    </xf>
    <xf numFmtId="43" fontId="6" fillId="4" borderId="7" xfId="0" applyNumberFormat="1" applyFont="1" applyFill="1" applyBorder="1" applyAlignment="1">
      <alignment horizontal="center" vertical="center"/>
    </xf>
    <xf numFmtId="43" fontId="6" fillId="7" borderId="0" xfId="0" applyNumberFormat="1" applyFont="1" applyFill="1" applyBorder="1" applyAlignment="1">
      <alignment vertical="center"/>
    </xf>
    <xf numFmtId="43" fontId="6" fillId="7" borderId="1" xfId="0" applyNumberFormat="1" applyFont="1" applyFill="1" applyBorder="1" applyAlignment="1">
      <alignment horizontal="center" vertical="center"/>
    </xf>
    <xf numFmtId="43" fontId="6" fillId="7" borderId="1" xfId="0" applyNumberFormat="1" applyFont="1" applyFill="1" applyBorder="1" applyAlignment="1">
      <alignment vertical="center"/>
    </xf>
    <xf numFmtId="43" fontId="6" fillId="7" borderId="15" xfId="0" applyNumberFormat="1" applyFont="1" applyFill="1" applyBorder="1" applyAlignment="1">
      <alignment vertical="center"/>
    </xf>
    <xf numFmtId="43" fontId="6" fillId="7" borderId="8" xfId="0" applyNumberFormat="1" applyFont="1" applyFill="1" applyBorder="1" applyAlignment="1">
      <alignment vertical="center"/>
    </xf>
    <xf numFmtId="43" fontId="6" fillId="7" borderId="7" xfId="0" applyNumberFormat="1" applyFont="1" applyFill="1" applyBorder="1" applyAlignment="1">
      <alignment vertical="center"/>
    </xf>
    <xf numFmtId="43" fontId="7" fillId="7" borderId="15" xfId="0" applyNumberFormat="1" applyFont="1" applyFill="1" applyBorder="1" applyAlignment="1">
      <alignment vertical="center"/>
    </xf>
    <xf numFmtId="43" fontId="7" fillId="7" borderId="0" xfId="0" applyNumberFormat="1" applyFont="1" applyFill="1" applyBorder="1" applyAlignment="1">
      <alignment vertical="center"/>
    </xf>
    <xf numFmtId="43" fontId="7" fillId="7" borderId="34" xfId="0" applyNumberFormat="1" applyFont="1" applyFill="1" applyBorder="1" applyAlignment="1">
      <alignment vertical="center"/>
    </xf>
    <xf numFmtId="43" fontId="7" fillId="7" borderId="13" xfId="0" applyNumberFormat="1" applyFont="1" applyFill="1" applyBorder="1" applyAlignment="1">
      <alignment vertical="center"/>
    </xf>
    <xf numFmtId="43" fontId="7" fillId="7" borderId="15" xfId="1" applyNumberFormat="1" applyFont="1" applyFill="1" applyBorder="1" applyAlignment="1">
      <alignment vertical="center"/>
    </xf>
    <xf numFmtId="43" fontId="7" fillId="7" borderId="1" xfId="0" applyNumberFormat="1" applyFont="1" applyFill="1" applyBorder="1" applyAlignment="1">
      <alignment vertical="center"/>
    </xf>
    <xf numFmtId="43" fontId="6" fillId="7" borderId="0" xfId="0" applyNumberFormat="1" applyFont="1" applyFill="1" applyAlignment="1">
      <alignment vertical="center"/>
    </xf>
    <xf numFmtId="43" fontId="6" fillId="7" borderId="1" xfId="1" applyNumberFormat="1" applyFont="1" applyFill="1" applyBorder="1" applyAlignment="1">
      <alignment vertical="center"/>
    </xf>
    <xf numFmtId="0" fontId="6" fillId="4" borderId="7" xfId="0" applyFont="1" applyFill="1" applyBorder="1" applyAlignment="1">
      <alignment vertical="center"/>
    </xf>
    <xf numFmtId="0" fontId="7" fillId="4" borderId="7" xfId="0" applyFont="1" applyFill="1" applyBorder="1" applyAlignment="1">
      <alignment vertical="center"/>
    </xf>
    <xf numFmtId="43" fontId="7" fillId="4" borderId="0" xfId="1" applyNumberFormat="1" applyFont="1" applyFill="1" applyBorder="1" applyAlignment="1">
      <alignment vertical="center"/>
    </xf>
    <xf numFmtId="43" fontId="7" fillId="0" borderId="0" xfId="1" applyFont="1" applyFill="1" applyAlignment="1">
      <alignment horizontal="center" vertical="center"/>
    </xf>
    <xf numFmtId="43" fontId="14" fillId="0" borderId="1" xfId="1" applyFont="1" applyFill="1" applyBorder="1" applyAlignment="1">
      <alignment horizontal="center" vertical="center"/>
    </xf>
    <xf numFmtId="43" fontId="7" fillId="0" borderId="1" xfId="1" applyFont="1" applyFill="1" applyBorder="1" applyAlignment="1">
      <alignment horizontal="left" vertical="center"/>
    </xf>
    <xf numFmtId="43" fontId="14" fillId="4" borderId="1" xfId="1" applyFont="1" applyFill="1" applyBorder="1" applyAlignment="1">
      <alignment horizontal="center" vertical="center"/>
    </xf>
    <xf numFmtId="43" fontId="14" fillId="4" borderId="1" xfId="1" applyFont="1" applyFill="1" applyBorder="1" applyAlignment="1">
      <alignment horizontal="center" vertical="center" wrapText="1"/>
    </xf>
    <xf numFmtId="43" fontId="7" fillId="4" borderId="0" xfId="1" applyFont="1" applyFill="1" applyAlignment="1">
      <alignment horizontal="center" vertical="center"/>
    </xf>
    <xf numFmtId="43" fontId="7" fillId="4" borderId="1" xfId="1" applyFont="1" applyFill="1" applyBorder="1" applyAlignment="1">
      <alignment horizontal="center" vertical="center"/>
    </xf>
    <xf numFmtId="43" fontId="7" fillId="4" borderId="1" xfId="1" applyFont="1" applyFill="1" applyBorder="1" applyAlignment="1">
      <alignment horizontal="left" vertical="center"/>
    </xf>
    <xf numFmtId="43" fontId="31" fillId="0" borderId="1" xfId="1" applyFont="1" applyFill="1" applyBorder="1" applyAlignment="1">
      <alignment horizontal="left" vertical="center"/>
    </xf>
    <xf numFmtId="43" fontId="31" fillId="0" borderId="1" xfId="1" applyFont="1" applyFill="1" applyBorder="1" applyAlignment="1">
      <alignment vertical="center"/>
    </xf>
    <xf numFmtId="187" fontId="7" fillId="0" borderId="0" xfId="1" applyNumberFormat="1" applyFont="1" applyFill="1" applyBorder="1" applyAlignment="1">
      <alignment horizontal="center" vertical="center"/>
    </xf>
    <xf numFmtId="187" fontId="7" fillId="0" borderId="11" xfId="1" applyNumberFormat="1" applyFont="1" applyFill="1" applyBorder="1" applyAlignment="1">
      <alignment horizontal="center" vertical="center"/>
    </xf>
    <xf numFmtId="43" fontId="7" fillId="4" borderId="6" xfId="1" applyFont="1" applyFill="1" applyBorder="1" applyAlignment="1">
      <alignment horizontal="left" vertical="center"/>
    </xf>
    <xf numFmtId="187" fontId="7" fillId="4" borderId="6" xfId="1" applyNumberFormat="1" applyFont="1" applyFill="1" applyBorder="1" applyAlignment="1">
      <alignment horizontal="center" vertical="center"/>
    </xf>
    <xf numFmtId="187" fontId="14" fillId="4" borderId="2" xfId="1" applyNumberFormat="1" applyFont="1" applyFill="1" applyBorder="1" applyAlignment="1">
      <alignment vertical="center"/>
    </xf>
    <xf numFmtId="43" fontId="14" fillId="4" borderId="2" xfId="1" applyFont="1" applyFill="1" applyBorder="1" applyAlignment="1">
      <alignment vertical="center"/>
    </xf>
    <xf numFmtId="187" fontId="14" fillId="4" borderId="0" xfId="1" applyNumberFormat="1" applyFont="1" applyFill="1" applyBorder="1" applyAlignment="1">
      <alignment vertical="center"/>
    </xf>
    <xf numFmtId="2" fontId="7" fillId="4" borderId="0" xfId="0" applyNumberFormat="1" applyFont="1" applyFill="1" applyAlignment="1">
      <alignment vertical="center"/>
    </xf>
    <xf numFmtId="43" fontId="7" fillId="4" borderId="6" xfId="1" applyFont="1" applyFill="1" applyBorder="1" applyAlignment="1">
      <alignment horizontal="center" vertical="center" wrapText="1"/>
    </xf>
    <xf numFmtId="43" fontId="7" fillId="0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left" vertical="center"/>
    </xf>
    <xf numFmtId="43" fontId="7" fillId="0" borderId="0" xfId="1" applyFont="1" applyFill="1" applyAlignment="1">
      <alignment horizontal="center" vertical="center"/>
    </xf>
    <xf numFmtId="43" fontId="7" fillId="0" borderId="0" xfId="1" applyFont="1" applyFill="1" applyAlignment="1">
      <alignment horizontal="left" vertical="center"/>
    </xf>
    <xf numFmtId="43" fontId="14" fillId="4" borderId="1" xfId="1" applyFont="1" applyFill="1" applyBorder="1" applyAlignment="1">
      <alignment horizontal="center" vertical="center"/>
    </xf>
    <xf numFmtId="43" fontId="14" fillId="4" borderId="1" xfId="1" applyFont="1" applyFill="1" applyBorder="1" applyAlignment="1">
      <alignment horizontal="center" vertical="center" wrapText="1"/>
    </xf>
    <xf numFmtId="43" fontId="7" fillId="4" borderId="0" xfId="1" applyFont="1" applyFill="1" applyAlignment="1">
      <alignment horizontal="center" vertical="center"/>
    </xf>
    <xf numFmtId="43" fontId="14" fillId="4" borderId="2" xfId="1" applyFont="1" applyFill="1" applyBorder="1" applyAlignment="1">
      <alignment horizontal="center" vertical="center"/>
    </xf>
    <xf numFmtId="43" fontId="7" fillId="4" borderId="1" xfId="1" applyFont="1" applyFill="1" applyBorder="1" applyAlignment="1">
      <alignment horizontal="left" vertical="center"/>
    </xf>
    <xf numFmtId="43" fontId="7" fillId="4" borderId="7" xfId="1" applyFont="1" applyFill="1" applyBorder="1" applyAlignment="1">
      <alignment vertical="center"/>
    </xf>
    <xf numFmtId="187" fontId="7" fillId="0" borderId="7" xfId="1" applyNumberFormat="1" applyFont="1" applyFill="1" applyBorder="1" applyAlignment="1">
      <alignment vertical="center"/>
    </xf>
    <xf numFmtId="187" fontId="7" fillId="4" borderId="7" xfId="1" applyNumberFormat="1" applyFont="1" applyFill="1" applyBorder="1" applyAlignment="1">
      <alignment vertical="center"/>
    </xf>
    <xf numFmtId="43" fontId="7" fillId="0" borderId="8" xfId="1" applyFont="1" applyFill="1" applyBorder="1" applyAlignment="1">
      <alignment horizontal="left" vertical="center"/>
    </xf>
    <xf numFmtId="43" fontId="7" fillId="0" borderId="8" xfId="1" applyFont="1" applyFill="1" applyBorder="1" applyAlignment="1">
      <alignment horizontal="left" vertical="center" wrapText="1"/>
    </xf>
    <xf numFmtId="187" fontId="7" fillId="4" borderId="16" xfId="1" applyNumberFormat="1" applyFont="1" applyFill="1" applyBorder="1" applyAlignment="1">
      <alignment vertical="center"/>
    </xf>
    <xf numFmtId="43" fontId="7" fillId="0" borderId="9" xfId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6" fillId="4" borderId="0" xfId="0" applyFont="1" applyFill="1" applyAlignment="1">
      <alignment horizontal="right" vertical="center"/>
    </xf>
    <xf numFmtId="43" fontId="6" fillId="4" borderId="6" xfId="1" applyFont="1" applyFill="1" applyBorder="1" applyAlignment="1">
      <alignment vertical="center"/>
    </xf>
    <xf numFmtId="43" fontId="10" fillId="4" borderId="2" xfId="1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43" fontId="10" fillId="4" borderId="0" xfId="0" applyNumberFormat="1" applyFont="1" applyFill="1" applyBorder="1" applyAlignment="1">
      <alignment vertical="center"/>
    </xf>
    <xf numFmtId="43" fontId="6" fillId="4" borderId="13" xfId="1" applyFont="1" applyFill="1" applyBorder="1" applyAlignment="1">
      <alignment vertical="center"/>
    </xf>
    <xf numFmtId="43" fontId="6" fillId="4" borderId="13" xfId="0" applyNumberFormat="1" applyFont="1" applyFill="1" applyBorder="1" applyAlignment="1">
      <alignment vertical="center"/>
    </xf>
    <xf numFmtId="43" fontId="6" fillId="4" borderId="14" xfId="0" applyNumberFormat="1" applyFont="1" applyFill="1" applyBorder="1" applyAlignment="1">
      <alignment vertical="center"/>
    </xf>
    <xf numFmtId="43" fontId="10" fillId="4" borderId="2" xfId="0" applyNumberFormat="1" applyFont="1" applyFill="1" applyBorder="1" applyAlignment="1">
      <alignment vertical="center"/>
    </xf>
    <xf numFmtId="43" fontId="10" fillId="4" borderId="12" xfId="0" applyNumberFormat="1" applyFont="1" applyFill="1" applyBorder="1" applyAlignment="1">
      <alignment vertical="center"/>
    </xf>
    <xf numFmtId="43" fontId="10" fillId="4" borderId="45" xfId="0" applyNumberFormat="1" applyFont="1" applyFill="1" applyBorder="1" applyAlignment="1">
      <alignment vertical="center"/>
    </xf>
    <xf numFmtId="43" fontId="6" fillId="0" borderId="46" xfId="1" applyFont="1" applyFill="1" applyBorder="1" applyAlignment="1">
      <alignment vertical="center"/>
    </xf>
    <xf numFmtId="43" fontId="10" fillId="0" borderId="47" xfId="0" applyNumberFormat="1" applyFont="1" applyFill="1" applyBorder="1" applyAlignment="1">
      <alignment vertical="center"/>
    </xf>
    <xf numFmtId="0" fontId="38" fillId="4" borderId="0" xfId="0" applyFont="1" applyFill="1" applyBorder="1" applyAlignment="1">
      <alignment vertical="center"/>
    </xf>
    <xf numFmtId="43" fontId="7" fillId="4" borderId="15" xfId="1" applyFont="1" applyFill="1" applyBorder="1" applyAlignment="1">
      <alignment vertical="center"/>
    </xf>
    <xf numFmtId="43" fontId="7" fillId="4" borderId="9" xfId="1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43" fontId="7" fillId="0" borderId="10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89" fontId="7" fillId="0" borderId="8" xfId="1" applyNumberFormat="1" applyFont="1" applyFill="1" applyBorder="1" applyAlignment="1">
      <alignment horizontal="right" vertical="center" wrapText="1"/>
    </xf>
    <xf numFmtId="189" fontId="7" fillId="0" borderId="1" xfId="1" applyNumberFormat="1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vertical="center" wrapText="1"/>
    </xf>
    <xf numFmtId="0" fontId="8" fillId="4" borderId="0" xfId="0" applyFont="1" applyFill="1" applyAlignment="1">
      <alignment vertical="center"/>
    </xf>
    <xf numFmtId="0" fontId="8" fillId="4" borderId="0" xfId="0" applyFont="1" applyFill="1" applyAlignment="1">
      <alignment horizontal="left" vertical="center"/>
    </xf>
    <xf numFmtId="43" fontId="8" fillId="4" borderId="0" xfId="1" applyFont="1" applyFill="1" applyBorder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43" fontId="6" fillId="4" borderId="1" xfId="1" applyFont="1" applyFill="1" applyBorder="1" applyAlignment="1">
      <alignment horizontal="center" vertical="center"/>
    </xf>
    <xf numFmtId="189" fontId="7" fillId="5" borderId="8" xfId="1" applyNumberFormat="1" applyFont="1" applyFill="1" applyBorder="1" applyAlignment="1">
      <alignment horizontal="right" vertical="center" wrapText="1"/>
    </xf>
    <xf numFmtId="189" fontId="7" fillId="5" borderId="1" xfId="1" applyNumberFormat="1" applyFont="1" applyFill="1" applyBorder="1" applyAlignment="1">
      <alignment horizontal="right" vertical="center" wrapText="1"/>
    </xf>
    <xf numFmtId="0" fontId="7" fillId="5" borderId="8" xfId="1" applyNumberFormat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center" vertical="center"/>
    </xf>
    <xf numFmtId="43" fontId="23" fillId="4" borderId="0" xfId="1" applyFont="1" applyFill="1" applyAlignment="1">
      <alignment horizontal="right" vertical="center"/>
    </xf>
    <xf numFmtId="43" fontId="8" fillId="4" borderId="0" xfId="1" applyFont="1" applyFill="1" applyAlignment="1">
      <alignment horizontal="right" vertical="center"/>
    </xf>
    <xf numFmtId="43" fontId="24" fillId="4" borderId="0" xfId="1" applyFont="1" applyFill="1" applyAlignment="1">
      <alignment horizontal="right" vertical="center"/>
    </xf>
    <xf numFmtId="0" fontId="24" fillId="4" borderId="0" xfId="0" applyFont="1" applyFill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189" fontId="6" fillId="4" borderId="1" xfId="0" applyNumberFormat="1" applyFont="1" applyFill="1" applyBorder="1" applyAlignment="1">
      <alignment horizontal="right" vertical="center" wrapText="1"/>
    </xf>
    <xf numFmtId="43" fontId="6" fillId="4" borderId="8" xfId="1" applyFont="1" applyFill="1" applyBorder="1" applyAlignment="1">
      <alignment horizontal="left" vertical="center"/>
    </xf>
    <xf numFmtId="43" fontId="6" fillId="4" borderId="0" xfId="1" applyFont="1" applyFill="1" applyAlignment="1">
      <alignment horizontal="right" vertical="center"/>
    </xf>
    <xf numFmtId="189" fontId="6" fillId="4" borderId="1" xfId="0" applyNumberFormat="1" applyFont="1" applyFill="1" applyBorder="1" applyAlignment="1">
      <alignment vertical="center"/>
    </xf>
    <xf numFmtId="0" fontId="7" fillId="5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43" fontId="6" fillId="4" borderId="2" xfId="1" applyFont="1" applyFill="1" applyBorder="1" applyAlignment="1">
      <alignment horizontal="left" vertical="center"/>
    </xf>
    <xf numFmtId="43" fontId="7" fillId="4" borderId="16" xfId="1" applyNumberFormat="1" applyFont="1" applyFill="1" applyBorder="1" applyAlignment="1">
      <alignment vertical="center"/>
    </xf>
    <xf numFmtId="43" fontId="7" fillId="4" borderId="6" xfId="1" applyNumberFormat="1" applyFont="1" applyFill="1" applyBorder="1" applyAlignment="1">
      <alignment vertical="center"/>
    </xf>
    <xf numFmtId="43" fontId="7" fillId="0" borderId="6" xfId="1" applyNumberFormat="1" applyFont="1" applyFill="1" applyBorder="1" applyAlignment="1">
      <alignment horizontal="center" vertical="center"/>
    </xf>
    <xf numFmtId="43" fontId="7" fillId="4" borderId="34" xfId="1" applyNumberFormat="1" applyFont="1" applyFill="1" applyBorder="1" applyAlignment="1">
      <alignment vertical="center"/>
    </xf>
    <xf numFmtId="43" fontId="7" fillId="0" borderId="16" xfId="1" applyFont="1" applyFill="1" applyBorder="1" applyAlignment="1">
      <alignment horizontal="center" vertical="center"/>
    </xf>
    <xf numFmtId="43" fontId="7" fillId="0" borderId="6" xfId="0" applyNumberFormat="1" applyFont="1" applyFill="1" applyBorder="1" applyAlignment="1">
      <alignment horizontal="center" vertical="center"/>
    </xf>
    <xf numFmtId="189" fontId="7" fillId="0" borderId="9" xfId="1" applyNumberFormat="1" applyFont="1" applyFill="1" applyBorder="1" applyAlignment="1">
      <alignment horizontal="right" vertical="center" wrapText="1"/>
    </xf>
    <xf numFmtId="189" fontId="7" fillId="0" borderId="6" xfId="1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/>
    </xf>
    <xf numFmtId="43" fontId="7" fillId="0" borderId="2" xfId="1" applyNumberFormat="1" applyFont="1" applyFill="1" applyBorder="1" applyAlignment="1">
      <alignment vertical="center"/>
    </xf>
    <xf numFmtId="43" fontId="7" fillId="0" borderId="2" xfId="0" applyNumberFormat="1" applyFont="1" applyFill="1" applyBorder="1" applyAlignment="1">
      <alignment horizontal="center" vertical="center"/>
    </xf>
    <xf numFmtId="0" fontId="18" fillId="0" borderId="26" xfId="0" applyFont="1" applyBorder="1" applyAlignment="1">
      <alignment horizontal="right" wrapText="1"/>
    </xf>
    <xf numFmtId="0" fontId="18" fillId="0" borderId="28" xfId="0" applyFont="1" applyBorder="1" applyAlignment="1">
      <alignment horizontal="right" wrapText="1"/>
    </xf>
    <xf numFmtId="0" fontId="18" fillId="0" borderId="27" xfId="0" applyFont="1" applyBorder="1" applyAlignment="1">
      <alignment horizontal="right" wrapText="1"/>
    </xf>
    <xf numFmtId="0" fontId="14" fillId="0" borderId="6" xfId="0" applyFont="1" applyFill="1" applyBorder="1" applyAlignment="1">
      <alignment vertical="center"/>
    </xf>
    <xf numFmtId="43" fontId="7" fillId="4" borderId="16" xfId="1" applyFont="1" applyFill="1" applyBorder="1" applyAlignment="1">
      <alignment vertical="center"/>
    </xf>
    <xf numFmtId="43" fontId="7" fillId="0" borderId="6" xfId="1" applyFont="1" applyFill="1" applyBorder="1" applyAlignment="1">
      <alignment vertical="center"/>
    </xf>
    <xf numFmtId="0" fontId="14" fillId="0" borderId="20" xfId="0" applyFont="1" applyFill="1" applyBorder="1" applyAlignment="1">
      <alignment horizontal="center" vertical="center"/>
    </xf>
    <xf numFmtId="43" fontId="14" fillId="4" borderId="2" xfId="0" applyNumberFormat="1" applyFont="1" applyFill="1" applyBorder="1" applyAlignment="1">
      <alignment vertical="center"/>
    </xf>
    <xf numFmtId="43" fontId="6" fillId="4" borderId="6" xfId="0" applyNumberFormat="1" applyFont="1" applyFill="1" applyBorder="1" applyAlignment="1">
      <alignment vertical="center"/>
    </xf>
    <xf numFmtId="43" fontId="6" fillId="4" borderId="5" xfId="0" applyNumberFormat="1" applyFont="1" applyFill="1" applyBorder="1" applyAlignment="1">
      <alignment vertical="center"/>
    </xf>
    <xf numFmtId="43" fontId="6" fillId="4" borderId="2" xfId="0" applyNumberFormat="1" applyFont="1" applyFill="1" applyBorder="1" applyAlignment="1">
      <alignment vertical="center"/>
    </xf>
    <xf numFmtId="189" fontId="7" fillId="4" borderId="8" xfId="1" applyNumberFormat="1" applyFont="1" applyFill="1" applyBorder="1" applyAlignment="1">
      <alignment horizontal="right" vertical="center" wrapText="1"/>
    </xf>
    <xf numFmtId="189" fontId="7" fillId="4" borderId="1" xfId="1" applyNumberFormat="1" applyFont="1" applyFill="1" applyBorder="1" applyAlignment="1">
      <alignment horizontal="right" vertical="center" wrapText="1"/>
    </xf>
    <xf numFmtId="0" fontId="32" fillId="4" borderId="1" xfId="0" applyFont="1" applyFill="1" applyBorder="1" applyAlignment="1">
      <alignment horizontal="left" vertical="center" wrapText="1"/>
    </xf>
    <xf numFmtId="0" fontId="32" fillId="4" borderId="1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right" vertical="center" wrapText="1"/>
    </xf>
    <xf numFmtId="0" fontId="39" fillId="0" borderId="1" xfId="0" applyFont="1" applyBorder="1" applyAlignment="1"/>
    <xf numFmtId="0" fontId="4" fillId="4" borderId="1" xfId="0" applyFont="1" applyFill="1" applyBorder="1" applyAlignment="1">
      <alignment horizontal="center" vertical="center" wrapText="1"/>
    </xf>
    <xf numFmtId="43" fontId="5" fillId="4" borderId="6" xfId="1" applyFont="1" applyFill="1" applyBorder="1" applyAlignment="1">
      <alignment vertical="center"/>
    </xf>
    <xf numFmtId="43" fontId="5" fillId="4" borderId="24" xfId="1" applyFont="1" applyFill="1" applyBorder="1" applyAlignment="1">
      <alignment vertical="center"/>
    </xf>
    <xf numFmtId="43" fontId="5" fillId="4" borderId="5" xfId="1" applyFont="1" applyFill="1" applyBorder="1" applyAlignment="1">
      <alignment vertical="center"/>
    </xf>
    <xf numFmtId="43" fontId="4" fillId="4" borderId="1" xfId="1" applyFont="1" applyFill="1" applyBorder="1"/>
    <xf numFmtId="43" fontId="5" fillId="4" borderId="1" xfId="1" applyFont="1" applyFill="1" applyBorder="1"/>
    <xf numFmtId="43" fontId="4" fillId="0" borderId="6" xfId="1" applyFont="1" applyBorder="1"/>
    <xf numFmtId="43" fontId="5" fillId="0" borderId="2" xfId="1" applyFont="1" applyBorder="1"/>
    <xf numFmtId="43" fontId="5" fillId="0" borderId="2" xfId="0" applyNumberFormat="1" applyFont="1" applyBorder="1"/>
    <xf numFmtId="0" fontId="6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40" fillId="0" borderId="0" xfId="0" applyFont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10" fillId="4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43" fontId="10" fillId="0" borderId="20" xfId="1" applyFont="1" applyFill="1" applyBorder="1" applyAlignment="1">
      <alignment horizontal="center" vertical="center"/>
    </xf>
    <xf numFmtId="43" fontId="10" fillId="0" borderId="21" xfId="1" applyFont="1" applyFill="1" applyBorder="1" applyAlignment="1">
      <alignment horizontal="center" vertical="center"/>
    </xf>
    <xf numFmtId="43" fontId="10" fillId="0" borderId="22" xfId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43" fontId="6" fillId="5" borderId="2" xfId="1" applyFont="1" applyFill="1" applyBorder="1" applyAlignment="1">
      <alignment horizontal="center" vertical="center"/>
    </xf>
    <xf numFmtId="43" fontId="6" fillId="4" borderId="20" xfId="1" applyFont="1" applyFill="1" applyBorder="1" applyAlignment="1">
      <alignment horizontal="center" vertical="center"/>
    </xf>
    <xf numFmtId="43" fontId="6" fillId="4" borderId="21" xfId="1" applyFont="1" applyFill="1" applyBorder="1" applyAlignment="1">
      <alignment horizontal="center" vertical="center"/>
    </xf>
    <xf numFmtId="43" fontId="6" fillId="4" borderId="22" xfId="1" applyFont="1" applyFill="1" applyBorder="1" applyAlignment="1">
      <alignment horizontal="center" vertical="center"/>
    </xf>
    <xf numFmtId="0" fontId="8" fillId="4" borderId="0" xfId="0" applyFont="1" applyFill="1" applyAlignment="1">
      <alignment vertical="center" wrapText="1"/>
    </xf>
    <xf numFmtId="0" fontId="8" fillId="4" borderId="0" xfId="0" applyFont="1" applyFill="1" applyAlignment="1">
      <alignment vertical="center"/>
    </xf>
    <xf numFmtId="0" fontId="23" fillId="4" borderId="0" xfId="0" applyFont="1" applyFill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6" fillId="4" borderId="15" xfId="0" applyFont="1" applyFill="1" applyBorder="1"/>
    <xf numFmtId="0" fontId="6" fillId="4" borderId="8" xfId="0" applyFont="1" applyFill="1" applyBorder="1"/>
    <xf numFmtId="0" fontId="6" fillId="4" borderId="1" xfId="0" applyFont="1" applyFill="1" applyBorder="1" applyAlignment="1">
      <alignment horizontal="center" vertical="center"/>
    </xf>
    <xf numFmtId="0" fontId="24" fillId="4" borderId="13" xfId="0" applyFont="1" applyFill="1" applyBorder="1" applyAlignment="1">
      <alignment horizontal="left" vertical="center"/>
    </xf>
    <xf numFmtId="43" fontId="6" fillId="5" borderId="7" xfId="1" applyFont="1" applyFill="1" applyBorder="1" applyAlignment="1">
      <alignment horizontal="center" vertical="center"/>
    </xf>
    <xf numFmtId="43" fontId="6" fillId="5" borderId="15" xfId="1" applyFont="1" applyFill="1" applyBorder="1" applyAlignment="1">
      <alignment horizontal="center" vertical="center"/>
    </xf>
    <xf numFmtId="43" fontId="6" fillId="5" borderId="8" xfId="1" applyFont="1" applyFill="1" applyBorder="1" applyAlignment="1">
      <alignment horizontal="center" vertical="center"/>
    </xf>
    <xf numFmtId="0" fontId="6" fillId="5" borderId="7" xfId="0" applyNumberFormat="1" applyFont="1" applyFill="1" applyBorder="1" applyAlignment="1">
      <alignment horizontal="center" vertical="center" wrapText="1"/>
    </xf>
    <xf numFmtId="0" fontId="6" fillId="5" borderId="15" xfId="0" applyNumberFormat="1" applyFont="1" applyFill="1" applyBorder="1" applyAlignment="1">
      <alignment horizontal="center" vertical="center" wrapText="1"/>
    </xf>
    <xf numFmtId="0" fontId="6" fillId="5" borderId="8" xfId="0" applyNumberFormat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left" vertical="center" wrapText="1"/>
    </xf>
    <xf numFmtId="0" fontId="8" fillId="4" borderId="0" xfId="0" applyFont="1" applyFill="1" applyAlignment="1">
      <alignment horizontal="left" vertical="center"/>
    </xf>
    <xf numFmtId="43" fontId="8" fillId="4" borderId="0" xfId="1" applyFont="1" applyFill="1" applyBorder="1" applyAlignment="1">
      <alignment horizontal="left" vertical="center"/>
    </xf>
    <xf numFmtId="43" fontId="7" fillId="5" borderId="7" xfId="1" applyNumberFormat="1" applyFont="1" applyFill="1" applyBorder="1" applyAlignment="1">
      <alignment horizontal="center" vertical="center"/>
    </xf>
    <xf numFmtId="43" fontId="7" fillId="5" borderId="15" xfId="1" applyNumberFormat="1" applyFont="1" applyFill="1" applyBorder="1" applyAlignment="1">
      <alignment horizontal="center" vertical="center"/>
    </xf>
    <xf numFmtId="43" fontId="7" fillId="5" borderId="8" xfId="1" applyNumberFormat="1" applyFont="1" applyFill="1" applyBorder="1" applyAlignment="1">
      <alignment horizontal="center" vertical="center"/>
    </xf>
    <xf numFmtId="43" fontId="7" fillId="5" borderId="7" xfId="0" applyNumberFormat="1" applyFont="1" applyFill="1" applyBorder="1" applyAlignment="1">
      <alignment horizontal="center" vertical="center"/>
    </xf>
    <xf numFmtId="43" fontId="7" fillId="5" borderId="15" xfId="0" applyNumberFormat="1" applyFont="1" applyFill="1" applyBorder="1" applyAlignment="1">
      <alignment horizontal="center" vertical="center"/>
    </xf>
    <xf numFmtId="43" fontId="7" fillId="5" borderId="8" xfId="0" applyNumberFormat="1" applyFont="1" applyFill="1" applyBorder="1" applyAlignment="1">
      <alignment horizontal="center" vertical="center"/>
    </xf>
    <xf numFmtId="43" fontId="7" fillId="5" borderId="20" xfId="1" applyFont="1" applyFill="1" applyBorder="1" applyAlignment="1">
      <alignment horizontal="center" vertical="center"/>
    </xf>
    <xf numFmtId="43" fontId="7" fillId="5" borderId="21" xfId="1" applyFont="1" applyFill="1" applyBorder="1" applyAlignment="1">
      <alignment horizontal="center" vertical="center"/>
    </xf>
    <xf numFmtId="43" fontId="7" fillId="5" borderId="22" xfId="1" applyFont="1" applyFill="1" applyBorder="1" applyAlignment="1">
      <alignment horizontal="center" vertical="center"/>
    </xf>
    <xf numFmtId="0" fontId="6" fillId="4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43" fontId="7" fillId="5" borderId="20" xfId="1" applyNumberFormat="1" applyFont="1" applyFill="1" applyBorder="1" applyAlignment="1">
      <alignment horizontal="center" vertical="center"/>
    </xf>
    <xf numFmtId="43" fontId="7" fillId="5" borderId="21" xfId="1" applyNumberFormat="1" applyFont="1" applyFill="1" applyBorder="1" applyAlignment="1">
      <alignment horizontal="center" vertical="center"/>
    </xf>
    <xf numFmtId="43" fontId="7" fillId="5" borderId="22" xfId="1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left" vertical="center"/>
    </xf>
    <xf numFmtId="43" fontId="7" fillId="4" borderId="0" xfId="1" applyFont="1" applyFill="1" applyBorder="1" applyAlignment="1">
      <alignment horizontal="left" vertical="center"/>
    </xf>
    <xf numFmtId="43" fontId="7" fillId="4" borderId="0" xfId="1" applyFont="1" applyFill="1" applyAlignment="1">
      <alignment horizontal="left" vertical="center"/>
    </xf>
    <xf numFmtId="43" fontId="7" fillId="4" borderId="0" xfId="1" applyFont="1" applyFill="1" applyAlignment="1">
      <alignment horizontal="center" vertical="center"/>
    </xf>
    <xf numFmtId="43" fontId="14" fillId="4" borderId="2" xfId="1" applyFont="1" applyFill="1" applyBorder="1" applyAlignment="1">
      <alignment horizontal="center" vertical="center"/>
    </xf>
    <xf numFmtId="43" fontId="31" fillId="4" borderId="1" xfId="1" applyFont="1" applyFill="1" applyBorder="1" applyAlignment="1">
      <alignment horizontal="left" vertical="center"/>
    </xf>
    <xf numFmtId="43" fontId="14" fillId="4" borderId="1" xfId="1" applyFont="1" applyFill="1" applyBorder="1" applyAlignment="1">
      <alignment horizontal="left" vertical="center"/>
    </xf>
    <xf numFmtId="43" fontId="31" fillId="4" borderId="7" xfId="1" applyFont="1" applyFill="1" applyBorder="1" applyAlignment="1">
      <alignment horizontal="left" vertical="center"/>
    </xf>
    <xf numFmtId="43" fontId="31" fillId="4" borderId="8" xfId="1" applyFont="1" applyFill="1" applyBorder="1" applyAlignment="1">
      <alignment horizontal="left" vertical="center"/>
    </xf>
    <xf numFmtId="43" fontId="10" fillId="4" borderId="0" xfId="1" applyFont="1" applyFill="1" applyAlignment="1">
      <alignment horizontal="center" vertical="center"/>
    </xf>
    <xf numFmtId="43" fontId="10" fillId="4" borderId="13" xfId="1" applyFont="1" applyFill="1" applyBorder="1" applyAlignment="1">
      <alignment horizontal="center" vertical="center"/>
    </xf>
    <xf numFmtId="43" fontId="14" fillId="4" borderId="1" xfId="1" applyFont="1" applyFill="1" applyBorder="1" applyAlignment="1">
      <alignment horizontal="center" vertical="center"/>
    </xf>
    <xf numFmtId="43" fontId="7" fillId="4" borderId="1" xfId="1" applyFont="1" applyFill="1" applyBorder="1" applyAlignment="1">
      <alignment horizontal="left" vertical="center"/>
    </xf>
    <xf numFmtId="43" fontId="8" fillId="4" borderId="0" xfId="1" applyFont="1" applyFill="1" applyBorder="1" applyAlignment="1">
      <alignment horizontal="left" vertical="center" wrapText="1"/>
    </xf>
    <xf numFmtId="43" fontId="8" fillId="4" borderId="0" xfId="1" applyFont="1" applyFill="1" applyBorder="1" applyAlignment="1">
      <alignment vertical="top" wrapText="1"/>
    </xf>
    <xf numFmtId="43" fontId="8" fillId="4" borderId="0" xfId="1" applyFont="1" applyFill="1"/>
    <xf numFmtId="43" fontId="9" fillId="4" borderId="0" xfId="1" applyFont="1" applyFill="1" applyAlignment="1">
      <alignment horizontal="center" vertical="center"/>
    </xf>
    <xf numFmtId="43" fontId="7" fillId="4" borderId="13" xfId="1" applyFont="1" applyFill="1" applyBorder="1" applyAlignment="1">
      <alignment horizontal="center" vertical="center"/>
    </xf>
    <xf numFmtId="43" fontId="10" fillId="4" borderId="1" xfId="1" applyFont="1" applyFill="1" applyBorder="1" applyAlignment="1">
      <alignment horizontal="center" vertical="center"/>
    </xf>
    <xf numFmtId="43" fontId="14" fillId="4" borderId="1" xfId="1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/>
    </xf>
    <xf numFmtId="0" fontId="37" fillId="4" borderId="0" xfId="0" applyFont="1" applyFill="1" applyBorder="1" applyAlignment="1">
      <alignment horizontal="left" vertical="center"/>
    </xf>
    <xf numFmtId="43" fontId="6" fillId="4" borderId="0" xfId="0" applyNumberFormat="1" applyFont="1" applyFill="1" applyBorder="1" applyAlignment="1">
      <alignment horizontal="left" vertical="center"/>
    </xf>
    <xf numFmtId="43" fontId="6" fillId="4" borderId="1" xfId="0" applyNumberFormat="1" applyFont="1" applyFill="1" applyBorder="1" applyAlignment="1">
      <alignment horizontal="center" vertical="center"/>
    </xf>
    <xf numFmtId="43" fontId="6" fillId="4" borderId="7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43" fontId="7" fillId="4" borderId="0" xfId="0" applyNumberFormat="1" applyFont="1" applyFill="1" applyBorder="1" applyAlignment="1">
      <alignment horizontal="left" vertical="center"/>
    </xf>
    <xf numFmtId="43" fontId="8" fillId="4" borderId="34" xfId="0" applyNumberFormat="1" applyFont="1" applyFill="1" applyBorder="1" applyAlignment="1">
      <alignment horizontal="center" vertical="center"/>
    </xf>
    <xf numFmtId="43" fontId="8" fillId="4" borderId="43" xfId="0" applyNumberFormat="1" applyFont="1" applyFill="1" applyBorder="1" applyAlignment="1">
      <alignment horizontal="center" vertical="center"/>
    </xf>
    <xf numFmtId="43" fontId="8" fillId="4" borderId="0" xfId="0" applyNumberFormat="1" applyFont="1" applyFill="1" applyBorder="1" applyAlignment="1">
      <alignment horizontal="center" vertical="center"/>
    </xf>
    <xf numFmtId="43" fontId="8" fillId="4" borderId="39" xfId="0" applyNumberFormat="1" applyFont="1" applyFill="1" applyBorder="1" applyAlignment="1">
      <alignment horizontal="center" vertical="center"/>
    </xf>
    <xf numFmtId="43" fontId="8" fillId="4" borderId="13" xfId="0" applyNumberFormat="1" applyFont="1" applyFill="1" applyBorder="1" applyAlignment="1">
      <alignment horizontal="center" vertical="center"/>
    </xf>
    <xf numFmtId="43" fontId="8" fillId="4" borderId="42" xfId="0" applyNumberFormat="1" applyFont="1" applyFill="1" applyBorder="1" applyAlignment="1">
      <alignment horizontal="center" vertical="center"/>
    </xf>
    <xf numFmtId="43" fontId="6" fillId="4" borderId="8" xfId="1" applyFont="1" applyFill="1" applyBorder="1" applyAlignment="1">
      <alignment horizontal="center" vertical="center" wrapText="1"/>
    </xf>
    <xf numFmtId="43" fontId="6" fillId="4" borderId="8" xfId="1" applyFont="1" applyFill="1" applyBorder="1" applyAlignment="1">
      <alignment horizontal="center" vertical="center"/>
    </xf>
    <xf numFmtId="43" fontId="14" fillId="4" borderId="0" xfId="0" applyNumberFormat="1" applyFont="1" applyFill="1" applyBorder="1" applyAlignment="1">
      <alignment horizontal="left" vertical="center"/>
    </xf>
    <xf numFmtId="43" fontId="10" fillId="4" borderId="1" xfId="0" applyNumberFormat="1" applyFont="1" applyFill="1" applyBorder="1" applyAlignment="1">
      <alignment horizontal="left" vertical="center"/>
    </xf>
    <xf numFmtId="0" fontId="6" fillId="4" borderId="15" xfId="0" applyFont="1" applyFill="1" applyBorder="1" applyAlignment="1">
      <alignment horizontal="center" vertical="center"/>
    </xf>
    <xf numFmtId="43" fontId="7" fillId="0" borderId="0" xfId="1" applyFont="1" applyFill="1" applyAlignment="1">
      <alignment horizontal="center" vertical="center"/>
    </xf>
    <xf numFmtId="43" fontId="31" fillId="0" borderId="1" xfId="1" applyFont="1" applyFill="1" applyBorder="1" applyAlignment="1">
      <alignment horizontal="left" vertical="center"/>
    </xf>
    <xf numFmtId="43" fontId="14" fillId="0" borderId="1" xfId="1" applyFont="1" applyFill="1" applyBorder="1" applyAlignment="1">
      <alignment horizontal="center" vertical="center"/>
    </xf>
    <xf numFmtId="43" fontId="7" fillId="0" borderId="0" xfId="1" applyFont="1" applyFill="1" applyBorder="1" applyAlignment="1">
      <alignment horizontal="left" vertical="center"/>
    </xf>
    <xf numFmtId="43" fontId="7" fillId="0" borderId="0" xfId="1" applyFont="1" applyFill="1" applyAlignment="1">
      <alignment horizontal="left" vertical="center"/>
    </xf>
    <xf numFmtId="43" fontId="7" fillId="0" borderId="1" xfId="1" applyFont="1" applyFill="1" applyBorder="1" applyAlignment="1">
      <alignment horizontal="left" vertical="center"/>
    </xf>
    <xf numFmtId="43" fontId="6" fillId="0" borderId="0" xfId="1" applyFont="1" applyFill="1" applyAlignment="1">
      <alignment horizontal="center" vertical="center"/>
    </xf>
    <xf numFmtId="43" fontId="6" fillId="0" borderId="13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3" fontId="7" fillId="0" borderId="6" xfId="1" applyFont="1" applyFill="1" applyBorder="1" applyAlignment="1">
      <alignment horizontal="left" vertical="center" wrapText="1"/>
    </xf>
    <xf numFmtId="43" fontId="7" fillId="0" borderId="24" xfId="1" applyFont="1" applyFill="1" applyBorder="1" applyAlignment="1">
      <alignment horizontal="left" vertical="center" wrapText="1"/>
    </xf>
    <xf numFmtId="43" fontId="7" fillId="0" borderId="5" xfId="1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3" fontId="5" fillId="0" borderId="6" xfId="1" applyFont="1" applyBorder="1" applyAlignment="1">
      <alignment horizontal="center" vertical="center"/>
    </xf>
    <xf numFmtId="43" fontId="5" fillId="0" borderId="24" xfId="1" applyFont="1" applyBorder="1" applyAlignment="1">
      <alignment horizontal="center" vertical="center"/>
    </xf>
    <xf numFmtId="43" fontId="5" fillId="0" borderId="5" xfId="1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43" fontId="5" fillId="0" borderId="6" xfId="0" applyNumberFormat="1" applyFont="1" applyBorder="1" applyAlignment="1">
      <alignment horizontal="center" vertical="center"/>
    </xf>
    <xf numFmtId="43" fontId="35" fillId="0" borderId="0" xfId="1" applyFont="1" applyAlignment="1">
      <alignment horizontal="center"/>
    </xf>
    <xf numFmtId="0" fontId="18" fillId="0" borderId="26" xfId="0" applyFont="1" applyBorder="1" applyAlignment="1">
      <alignment horizontal="right" wrapText="1"/>
    </xf>
    <xf numFmtId="0" fontId="18" fillId="0" borderId="28" xfId="0" applyFont="1" applyBorder="1" applyAlignment="1">
      <alignment horizontal="right" wrapText="1"/>
    </xf>
    <xf numFmtId="0" fontId="18" fillId="0" borderId="26" xfId="0" applyFont="1" applyBorder="1" applyAlignment="1">
      <alignment horizontal="left" wrapText="1"/>
    </xf>
    <xf numFmtId="0" fontId="18" fillId="0" borderId="27" xfId="0" applyFont="1" applyBorder="1" applyAlignment="1">
      <alignment horizontal="left" wrapText="1"/>
    </xf>
    <xf numFmtId="0" fontId="18" fillId="0" borderId="28" xfId="0" applyFont="1" applyBorder="1" applyAlignment="1">
      <alignment horizontal="left" wrapText="1"/>
    </xf>
    <xf numFmtId="0" fontId="18" fillId="0" borderId="29" xfId="0" applyFont="1" applyBorder="1" applyAlignment="1">
      <alignment horizontal="center" wrapText="1"/>
    </xf>
    <xf numFmtId="0" fontId="18" fillId="0" borderId="30" xfId="0" applyFont="1" applyBorder="1" applyAlignment="1">
      <alignment horizontal="center" wrapText="1"/>
    </xf>
    <xf numFmtId="0" fontId="18" fillId="0" borderId="31" xfId="0" applyFont="1" applyBorder="1" applyAlignment="1">
      <alignment horizontal="center" wrapText="1"/>
    </xf>
    <xf numFmtId="0" fontId="18" fillId="0" borderId="29" xfId="0" applyFont="1" applyBorder="1" applyAlignment="1">
      <alignment horizontal="left" wrapText="1"/>
    </xf>
    <xf numFmtId="0" fontId="18" fillId="0" borderId="30" xfId="0" applyFont="1" applyBorder="1" applyAlignment="1">
      <alignment horizontal="left" wrapText="1"/>
    </xf>
    <xf numFmtId="0" fontId="18" fillId="0" borderId="31" xfId="0" applyFont="1" applyBorder="1" applyAlignment="1">
      <alignment horizontal="left" wrapText="1"/>
    </xf>
    <xf numFmtId="0" fontId="18" fillId="0" borderId="26" xfId="0" applyFont="1" applyBorder="1" applyAlignment="1">
      <alignment horizontal="center" wrapText="1"/>
    </xf>
    <xf numFmtId="0" fontId="18" fillId="0" borderId="27" xfId="0" applyFont="1" applyBorder="1" applyAlignment="1">
      <alignment horizontal="center" wrapText="1"/>
    </xf>
    <xf numFmtId="0" fontId="18" fillId="0" borderId="28" xfId="0" applyFont="1" applyBorder="1" applyAlignment="1">
      <alignment horizontal="center" wrapText="1"/>
    </xf>
    <xf numFmtId="0" fontId="14" fillId="9" borderId="33" xfId="0" applyFont="1" applyFill="1" applyBorder="1" applyAlignment="1">
      <alignment horizontal="center"/>
    </xf>
    <xf numFmtId="0" fontId="36" fillId="9" borderId="33" xfId="0" applyFont="1" applyFill="1" applyBorder="1" applyAlignment="1">
      <alignment horizontal="center"/>
    </xf>
    <xf numFmtId="0" fontId="18" fillId="0" borderId="26" xfId="0" applyFont="1" applyBorder="1" applyAlignment="1">
      <alignment wrapText="1"/>
    </xf>
    <xf numFmtId="0" fontId="18" fillId="0" borderId="27" xfId="0" applyFont="1" applyBorder="1" applyAlignment="1">
      <alignment wrapText="1"/>
    </xf>
    <xf numFmtId="0" fontId="18" fillId="0" borderId="28" xfId="0" applyFont="1" applyBorder="1" applyAlignment="1">
      <alignment wrapText="1"/>
    </xf>
    <xf numFmtId="0" fontId="18" fillId="0" borderId="27" xfId="0" applyFont="1" applyBorder="1" applyAlignment="1">
      <alignment horizontal="right" wrapText="1"/>
    </xf>
    <xf numFmtId="0" fontId="33" fillId="6" borderId="1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 vertical="center" wrapText="1"/>
    </xf>
    <xf numFmtId="0" fontId="14" fillId="4" borderId="38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4" fillId="4" borderId="35" xfId="0" applyFont="1" applyFill="1" applyBorder="1" applyAlignment="1">
      <alignment horizontal="center" vertical="center" wrapText="1"/>
    </xf>
    <xf numFmtId="0" fontId="14" fillId="4" borderId="37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33" fillId="6" borderId="1" xfId="0" applyFont="1" applyFill="1" applyBorder="1" applyAlignment="1">
      <alignment horizontal="right" vertical="center" wrapText="1"/>
    </xf>
    <xf numFmtId="0" fontId="14" fillId="4" borderId="1" xfId="0" applyFont="1" applyFill="1" applyBorder="1" applyAlignment="1">
      <alignment horizontal="center" vertical="center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colors>
    <mruColors>
      <color rgb="FFECF85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opLeftCell="A10" workbookViewId="0">
      <selection activeCell="D5" sqref="D5"/>
    </sheetView>
  </sheetViews>
  <sheetFormatPr defaultRowHeight="21"/>
  <cols>
    <col min="1" max="1" width="7.140625" style="1" customWidth="1"/>
    <col min="2" max="2" width="47.28515625" style="1" customWidth="1"/>
    <col min="3" max="3" width="23.28515625" style="1" customWidth="1"/>
    <col min="4" max="4" width="11.28515625" style="1" customWidth="1"/>
    <col min="5" max="7" width="17.140625" style="1" customWidth="1"/>
    <col min="8" max="16384" width="9.140625" style="1"/>
  </cols>
  <sheetData>
    <row r="1" spans="1:4" s="538" customFormat="1" ht="23.25" customHeight="1">
      <c r="A1" s="540" t="s">
        <v>525</v>
      </c>
      <c r="B1" s="540"/>
      <c r="C1" s="540"/>
      <c r="D1" s="539" t="s">
        <v>526</v>
      </c>
    </row>
    <row r="2" spans="1:4" s="537" customFormat="1"/>
    <row r="3" spans="1:4">
      <c r="A3" s="543" t="s">
        <v>0</v>
      </c>
      <c r="B3" s="543"/>
      <c r="C3" s="543"/>
    </row>
    <row r="4" spans="1:4" ht="15" customHeight="1">
      <c r="A4" s="90"/>
      <c r="B4" s="90"/>
    </row>
    <row r="5" spans="1:4">
      <c r="A5" s="541" t="s">
        <v>39</v>
      </c>
      <c r="B5" s="541"/>
    </row>
    <row r="6" spans="1:4">
      <c r="A6" s="91"/>
      <c r="B6" s="91"/>
    </row>
    <row r="7" spans="1:4" ht="23.25" customHeight="1">
      <c r="A7" s="545" t="s">
        <v>422</v>
      </c>
      <c r="B7" s="545"/>
      <c r="C7" s="545"/>
    </row>
    <row r="8" spans="1:4" ht="28.5" customHeight="1">
      <c r="C8" s="92" t="s">
        <v>35</v>
      </c>
    </row>
    <row r="9" spans="1:4">
      <c r="A9" s="93" t="s">
        <v>66</v>
      </c>
      <c r="B9" s="93" t="s">
        <v>1</v>
      </c>
      <c r="C9" s="94" t="s">
        <v>202</v>
      </c>
    </row>
    <row r="10" spans="1:4" s="36" customFormat="1">
      <c r="A10" s="89">
        <v>1</v>
      </c>
      <c r="B10" s="44" t="s">
        <v>109</v>
      </c>
      <c r="C10" s="303">
        <v>1263921900</v>
      </c>
      <c r="D10" s="27"/>
    </row>
    <row r="11" spans="1:4" s="36" customFormat="1" ht="42">
      <c r="A11" s="89">
        <v>2</v>
      </c>
      <c r="B11" s="95" t="s">
        <v>110</v>
      </c>
      <c r="C11" s="96">
        <v>449021610</v>
      </c>
      <c r="D11" s="27"/>
    </row>
    <row r="12" spans="1:4" s="36" customFormat="1">
      <c r="A12" s="89">
        <v>3</v>
      </c>
      <c r="B12" s="44" t="s">
        <v>3</v>
      </c>
      <c r="C12" s="288">
        <v>0</v>
      </c>
      <c r="D12" s="27"/>
    </row>
    <row r="13" spans="1:4" s="36" customFormat="1">
      <c r="A13" s="89">
        <v>4</v>
      </c>
      <c r="B13" s="44" t="s">
        <v>65</v>
      </c>
      <c r="C13" s="287">
        <v>0</v>
      </c>
      <c r="D13" s="27"/>
    </row>
    <row r="14" spans="1:4" s="36" customFormat="1">
      <c r="A14" s="89">
        <v>5</v>
      </c>
      <c r="B14" s="44" t="s">
        <v>142</v>
      </c>
      <c r="C14" s="287">
        <v>0</v>
      </c>
      <c r="D14" s="27"/>
    </row>
    <row r="15" spans="1:4" s="36" customFormat="1">
      <c r="A15" s="89">
        <v>6</v>
      </c>
      <c r="B15" s="44" t="s">
        <v>4</v>
      </c>
      <c r="C15" s="303">
        <f>SUM(C10:C14)</f>
        <v>1712943510</v>
      </c>
      <c r="D15" s="27"/>
    </row>
    <row r="16" spans="1:4">
      <c r="A16" s="94">
        <v>7</v>
      </c>
      <c r="B16" s="97" t="s">
        <v>15</v>
      </c>
      <c r="C16" s="2"/>
      <c r="D16" s="98"/>
    </row>
    <row r="17" spans="1:3">
      <c r="C17" s="99"/>
    </row>
    <row r="18" spans="1:3">
      <c r="A18" s="542" t="s">
        <v>67</v>
      </c>
      <c r="B18" s="542"/>
    </row>
    <row r="19" spans="1:3" ht="26.25" customHeight="1">
      <c r="A19" s="544"/>
      <c r="B19" s="544"/>
      <c r="C19" s="544"/>
    </row>
  </sheetData>
  <mergeCells count="6">
    <mergeCell ref="A1:C1"/>
    <mergeCell ref="A5:B5"/>
    <mergeCell ref="A18:B18"/>
    <mergeCell ref="A3:C3"/>
    <mergeCell ref="A19:C19"/>
    <mergeCell ref="A7:C7"/>
  </mergeCells>
  <phoneticPr fontId="3" type="noConversion"/>
  <printOptions horizontalCentered="1"/>
  <pageMargins left="2.29" right="2.2834645669291338" top="0.74803149606299213" bottom="0.70866141732283472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AN69"/>
  <sheetViews>
    <sheetView topLeftCell="M13" zoomScale="80" zoomScaleNormal="80" workbookViewId="0">
      <selection activeCell="A11" sqref="A11"/>
    </sheetView>
  </sheetViews>
  <sheetFormatPr defaultRowHeight="21"/>
  <cols>
    <col min="1" max="1" width="48.5703125" style="54" customWidth="1"/>
    <col min="2" max="2" width="15.85546875" style="342" bestFit="1" customWidth="1"/>
    <col min="3" max="3" width="14.85546875" style="342" bestFit="1" customWidth="1"/>
    <col min="4" max="5" width="13.5703125" style="342" bestFit="1" customWidth="1"/>
    <col min="6" max="6" width="10.85546875" style="342" bestFit="1" customWidth="1"/>
    <col min="7" max="7" width="7.85546875" style="342" bestFit="1" customWidth="1"/>
    <col min="8" max="9" width="13.5703125" style="342" bestFit="1" customWidth="1"/>
    <col min="10" max="10" width="7.85546875" style="342" bestFit="1" customWidth="1"/>
    <col min="11" max="11" width="15.85546875" style="342" bestFit="1" customWidth="1"/>
    <col min="12" max="12" width="14.85546875" style="342" bestFit="1" customWidth="1"/>
    <col min="13" max="13" width="7.85546875" style="342" bestFit="1" customWidth="1"/>
    <col min="14" max="14" width="15.85546875" style="342" bestFit="1" customWidth="1"/>
    <col min="15" max="15" width="14.85546875" style="342" bestFit="1" customWidth="1"/>
    <col min="16" max="16" width="7.85546875" style="342" bestFit="1" customWidth="1"/>
    <col min="17" max="17" width="15.85546875" style="342" bestFit="1" customWidth="1"/>
    <col min="18" max="18" width="14.85546875" style="342" bestFit="1" customWidth="1"/>
    <col min="19" max="19" width="7.85546875" style="342" bestFit="1" customWidth="1"/>
    <col min="20" max="20" width="15.85546875" style="342" bestFit="1" customWidth="1"/>
    <col min="21" max="21" width="14.85546875" style="342" bestFit="1" customWidth="1"/>
    <col min="22" max="22" width="7.85546875" style="342" bestFit="1" customWidth="1"/>
    <col min="23" max="23" width="17.42578125" style="81" bestFit="1" customWidth="1"/>
    <col min="24" max="24" width="15.85546875" style="81" bestFit="1" customWidth="1"/>
    <col min="25" max="25" width="13.5703125" style="81" bestFit="1" customWidth="1"/>
    <col min="26" max="26" width="17.42578125" style="81" bestFit="1" customWidth="1"/>
    <col min="27" max="27" width="15.140625" style="61" bestFit="1" customWidth="1"/>
    <col min="28" max="28" width="11.140625" style="61" bestFit="1" customWidth="1"/>
    <col min="29" max="16384" width="9.140625" style="61"/>
  </cols>
  <sheetData>
    <row r="1" spans="1:27" ht="23.25">
      <c r="A1" s="630" t="s">
        <v>432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  <c r="L1" s="630"/>
      <c r="M1" s="630"/>
      <c r="N1" s="630"/>
      <c r="O1" s="630"/>
      <c r="P1" s="630"/>
      <c r="Q1" s="630"/>
      <c r="R1" s="630"/>
      <c r="S1" s="630"/>
      <c r="T1" s="630"/>
      <c r="U1" s="630"/>
      <c r="V1" s="630"/>
      <c r="W1" s="630"/>
      <c r="X1" s="630"/>
      <c r="Y1" s="630"/>
      <c r="Z1" s="630"/>
    </row>
    <row r="2" spans="1:27" ht="24.75" customHeight="1">
      <c r="A2" s="630" t="s">
        <v>411</v>
      </c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630"/>
      <c r="P2" s="630"/>
      <c r="Q2" s="630"/>
      <c r="R2" s="630"/>
      <c r="S2" s="630"/>
      <c r="T2" s="630"/>
      <c r="U2" s="630"/>
      <c r="V2" s="630"/>
      <c r="W2" s="630"/>
      <c r="X2" s="630"/>
      <c r="Y2" s="630"/>
      <c r="Z2" s="630"/>
    </row>
    <row r="3" spans="1:27" ht="44.25" customHeight="1">
      <c r="A3" s="300" t="s">
        <v>72</v>
      </c>
      <c r="O3" s="342">
        <f>70000+256600</f>
        <v>326600</v>
      </c>
      <c r="P3" s="631"/>
      <c r="Q3" s="631"/>
      <c r="R3" s="631"/>
      <c r="S3" s="631"/>
      <c r="T3" s="631"/>
      <c r="U3" s="631"/>
      <c r="V3" s="631"/>
      <c r="W3" s="631"/>
      <c r="X3" s="631"/>
      <c r="Y3" s="631"/>
      <c r="Z3" s="631"/>
    </row>
    <row r="4" spans="1:27" s="262" customFormat="1" ht="23.25" customHeight="1">
      <c r="A4" s="632" t="s">
        <v>73</v>
      </c>
      <c r="B4" s="625" t="s">
        <v>74</v>
      </c>
      <c r="C4" s="625"/>
      <c r="D4" s="625"/>
      <c r="E4" s="625" t="s">
        <v>138</v>
      </c>
      <c r="F4" s="625"/>
      <c r="G4" s="625"/>
      <c r="H4" s="625" t="s">
        <v>139</v>
      </c>
      <c r="I4" s="625"/>
      <c r="J4" s="625"/>
      <c r="K4" s="625" t="s">
        <v>140</v>
      </c>
      <c r="L4" s="625"/>
      <c r="M4" s="625"/>
      <c r="N4" s="625" t="s">
        <v>77</v>
      </c>
      <c r="O4" s="625"/>
      <c r="P4" s="625"/>
      <c r="Q4" s="625" t="s">
        <v>75</v>
      </c>
      <c r="R4" s="625"/>
      <c r="S4" s="625"/>
      <c r="T4" s="625" t="s">
        <v>76</v>
      </c>
      <c r="U4" s="625"/>
      <c r="V4" s="625"/>
      <c r="W4" s="625" t="s">
        <v>78</v>
      </c>
      <c r="X4" s="625"/>
      <c r="Y4" s="625"/>
      <c r="Z4" s="633" t="s">
        <v>63</v>
      </c>
      <c r="AA4" s="301"/>
    </row>
    <row r="5" spans="1:27" s="78" customFormat="1" ht="21" customHeight="1">
      <c r="A5" s="632"/>
      <c r="B5" s="344" t="s">
        <v>42</v>
      </c>
      <c r="C5" s="344" t="s">
        <v>43</v>
      </c>
      <c r="D5" s="344" t="s">
        <v>10</v>
      </c>
      <c r="E5" s="344" t="s">
        <v>42</v>
      </c>
      <c r="F5" s="344" t="s">
        <v>43</v>
      </c>
      <c r="G5" s="344" t="s">
        <v>10</v>
      </c>
      <c r="H5" s="344" t="s">
        <v>42</v>
      </c>
      <c r="I5" s="344" t="s">
        <v>43</v>
      </c>
      <c r="J5" s="344" t="s">
        <v>10</v>
      </c>
      <c r="K5" s="344" t="s">
        <v>42</v>
      </c>
      <c r="L5" s="344" t="s">
        <v>43</v>
      </c>
      <c r="M5" s="344" t="s">
        <v>10</v>
      </c>
      <c r="N5" s="344" t="s">
        <v>42</v>
      </c>
      <c r="O5" s="344" t="s">
        <v>43</v>
      </c>
      <c r="P5" s="344" t="s">
        <v>10</v>
      </c>
      <c r="Q5" s="344" t="s">
        <v>42</v>
      </c>
      <c r="R5" s="344" t="s">
        <v>43</v>
      </c>
      <c r="S5" s="344" t="s">
        <v>10</v>
      </c>
      <c r="T5" s="344" t="s">
        <v>42</v>
      </c>
      <c r="U5" s="344" t="s">
        <v>43</v>
      </c>
      <c r="V5" s="344" t="s">
        <v>10</v>
      </c>
      <c r="W5" s="344" t="s">
        <v>42</v>
      </c>
      <c r="X5" s="344" t="s">
        <v>43</v>
      </c>
      <c r="Y5" s="344" t="s">
        <v>10</v>
      </c>
      <c r="Z5" s="625"/>
      <c r="AA5" s="61"/>
    </row>
    <row r="6" spans="1:27" s="78" customFormat="1">
      <c r="A6" s="302" t="s">
        <v>79</v>
      </c>
      <c r="B6" s="344"/>
      <c r="C6" s="344"/>
      <c r="D6" s="344"/>
      <c r="E6" s="344"/>
      <c r="F6" s="344"/>
      <c r="G6" s="344"/>
      <c r="H6" s="344"/>
      <c r="I6" s="344"/>
      <c r="J6" s="344"/>
      <c r="K6" s="344"/>
      <c r="L6" s="344"/>
      <c r="M6" s="344"/>
      <c r="N6" s="344"/>
      <c r="O6" s="344"/>
      <c r="P6" s="344"/>
      <c r="Q6" s="344"/>
      <c r="R6" s="344"/>
      <c r="S6" s="344"/>
      <c r="T6" s="344"/>
      <c r="U6" s="344"/>
      <c r="V6" s="344"/>
      <c r="W6" s="122"/>
      <c r="X6" s="122"/>
      <c r="Y6" s="122"/>
      <c r="Z6" s="122"/>
      <c r="AA6" s="61"/>
    </row>
    <row r="7" spans="1:27" s="78" customFormat="1">
      <c r="A7" s="304" t="s">
        <v>80</v>
      </c>
      <c r="B7" s="344">
        <v>242670</v>
      </c>
      <c r="C7" s="344">
        <v>3872655.28</v>
      </c>
      <c r="D7" s="344">
        <v>0</v>
      </c>
      <c r="E7" s="344">
        <v>187380</v>
      </c>
      <c r="F7" s="344">
        <v>0</v>
      </c>
      <c r="G7" s="344">
        <v>0</v>
      </c>
      <c r="H7" s="344">
        <v>7438</v>
      </c>
      <c r="I7" s="344">
        <v>0</v>
      </c>
      <c r="J7" s="344">
        <v>0</v>
      </c>
      <c r="K7" s="344">
        <v>5958379.0199999996</v>
      </c>
      <c r="L7" s="344">
        <v>9915779.4199999999</v>
      </c>
      <c r="M7" s="344">
        <v>0</v>
      </c>
      <c r="N7" s="116">
        <v>22047731.600000001</v>
      </c>
      <c r="O7" s="116">
        <v>2442469.0099999998</v>
      </c>
      <c r="P7" s="344"/>
      <c r="Q7" s="344">
        <v>12326965.35</v>
      </c>
      <c r="R7" s="344">
        <v>802500</v>
      </c>
      <c r="S7" s="344"/>
      <c r="T7" s="344">
        <v>12714678.65</v>
      </c>
      <c r="U7" s="344">
        <v>1766643</v>
      </c>
      <c r="V7" s="344"/>
      <c r="W7" s="122">
        <f>+B7+E7+H7+K7+N7+Q7+T7</f>
        <v>53485242.619999997</v>
      </c>
      <c r="X7" s="122">
        <f>+C7+F7+I7+L7+O7+R7+U7</f>
        <v>18800046.710000001</v>
      </c>
      <c r="Y7" s="122">
        <f>+D7+G7+J7+M7+P7+S7+V7</f>
        <v>0</v>
      </c>
      <c r="Z7" s="122">
        <f>+W7+X7+Y7</f>
        <v>72285289.329999998</v>
      </c>
      <c r="AA7" s="61"/>
    </row>
    <row r="8" spans="1:27" s="78" customFormat="1">
      <c r="A8" s="304" t="s">
        <v>81</v>
      </c>
      <c r="B8" s="344">
        <v>538860</v>
      </c>
      <c r="C8" s="344">
        <v>4577760.8</v>
      </c>
      <c r="D8" s="344">
        <v>0</v>
      </c>
      <c r="E8" s="344">
        <v>993439.2</v>
      </c>
      <c r="F8" s="344">
        <v>0</v>
      </c>
      <c r="G8" s="344">
        <v>0</v>
      </c>
      <c r="H8" s="344">
        <v>101357</v>
      </c>
      <c r="I8" s="344">
        <v>0</v>
      </c>
      <c r="J8" s="344">
        <v>0</v>
      </c>
      <c r="K8" s="344">
        <v>3961719.31</v>
      </c>
      <c r="L8" s="344">
        <v>6602954.8600000003</v>
      </c>
      <c r="M8" s="344">
        <v>0</v>
      </c>
      <c r="N8" s="116">
        <v>14920567.050000001</v>
      </c>
      <c r="O8" s="116">
        <v>2512590.54</v>
      </c>
      <c r="P8" s="344"/>
      <c r="Q8" s="344">
        <v>5385870.0999999996</v>
      </c>
      <c r="R8" s="344">
        <v>1088100</v>
      </c>
      <c r="S8" s="344">
        <v>0</v>
      </c>
      <c r="T8" s="344">
        <v>1365583</v>
      </c>
      <c r="U8" s="344">
        <v>2987864</v>
      </c>
      <c r="V8" s="344"/>
      <c r="W8" s="122">
        <f>+B8+E8+H8+K8+N8+Q8+T8</f>
        <v>27267395.660000004</v>
      </c>
      <c r="X8" s="122">
        <f t="shared" ref="X8:X22" si="0">+C8+F8+I8+L8+O8+R8+U8</f>
        <v>17769270.199999999</v>
      </c>
      <c r="Y8" s="122">
        <f t="shared" ref="Y8:Y22" si="1">+D8+G8+J8+M8+P8+S8+V8</f>
        <v>0</v>
      </c>
      <c r="Z8" s="122">
        <f t="shared" ref="Z8:Z22" si="2">+W8+X8+Y8</f>
        <v>45036665.859999999</v>
      </c>
      <c r="AA8" s="61"/>
    </row>
    <row r="9" spans="1:27" s="78" customFormat="1">
      <c r="A9" s="304" t="s">
        <v>82</v>
      </c>
      <c r="B9" s="369">
        <v>492180</v>
      </c>
      <c r="C9" s="369">
        <v>4019926.47</v>
      </c>
      <c r="D9" s="369"/>
      <c r="E9" s="369">
        <v>885155.6</v>
      </c>
      <c r="F9" s="369">
        <v>0</v>
      </c>
      <c r="G9" s="369">
        <v>0</v>
      </c>
      <c r="H9" s="369">
        <v>312214.03999999998</v>
      </c>
      <c r="I9" s="369">
        <v>5398747.5899999999</v>
      </c>
      <c r="J9" s="369">
        <v>0</v>
      </c>
      <c r="K9" s="369">
        <v>6900368.4100000001</v>
      </c>
      <c r="L9" s="369">
        <v>0</v>
      </c>
      <c r="M9" s="369">
        <v>0</v>
      </c>
      <c r="N9" s="369">
        <v>11850196.449999999</v>
      </c>
      <c r="O9" s="369">
        <v>1443389.32</v>
      </c>
      <c r="P9" s="369"/>
      <c r="Q9" s="369">
        <v>12033188.1</v>
      </c>
      <c r="R9" s="369">
        <v>326600</v>
      </c>
      <c r="S9" s="369"/>
      <c r="T9" s="369">
        <v>2007633.95</v>
      </c>
      <c r="U9" s="369">
        <v>2054455.75</v>
      </c>
      <c r="V9" s="369"/>
      <c r="W9" s="122">
        <f>+B9+E9+H9+K9+N9+Q9+T9</f>
        <v>34480936.550000004</v>
      </c>
      <c r="X9" s="122">
        <f t="shared" si="0"/>
        <v>13243119.130000001</v>
      </c>
      <c r="Y9" s="122">
        <f t="shared" si="1"/>
        <v>0</v>
      </c>
      <c r="Z9" s="122">
        <f>+W9+X9+Y9</f>
        <v>47724055.680000007</v>
      </c>
      <c r="AA9" s="61"/>
    </row>
    <row r="10" spans="1:27" s="78" customFormat="1">
      <c r="A10" s="304" t="s">
        <v>83</v>
      </c>
      <c r="B10" s="344">
        <v>232230</v>
      </c>
      <c r="C10" s="344">
        <v>1319474.71</v>
      </c>
      <c r="D10" s="344">
        <v>0</v>
      </c>
      <c r="E10" s="344">
        <v>120029</v>
      </c>
      <c r="F10" s="344">
        <v>0</v>
      </c>
      <c r="G10" s="344">
        <v>0</v>
      </c>
      <c r="H10" s="344">
        <v>113615</v>
      </c>
      <c r="I10" s="344">
        <v>110959</v>
      </c>
      <c r="J10" s="344">
        <v>0</v>
      </c>
      <c r="K10" s="344">
        <v>2778969.13</v>
      </c>
      <c r="L10" s="344">
        <v>2629794</v>
      </c>
      <c r="M10" s="344">
        <v>0</v>
      </c>
      <c r="N10" s="116">
        <v>6019388.5999999996</v>
      </c>
      <c r="O10" s="116">
        <v>371744.02</v>
      </c>
      <c r="P10" s="344"/>
      <c r="Q10" s="344">
        <v>6008857.25</v>
      </c>
      <c r="R10" s="344">
        <v>302220</v>
      </c>
      <c r="S10" s="344"/>
      <c r="T10" s="344">
        <v>3995133.45</v>
      </c>
      <c r="U10" s="344">
        <v>673619</v>
      </c>
      <c r="V10" s="344"/>
      <c r="W10" s="122">
        <f t="shared" ref="W10:W22" si="3">+B10+E10+H10+K10+N10+Q10+T10</f>
        <v>19268222.43</v>
      </c>
      <c r="X10" s="122">
        <f t="shared" si="0"/>
        <v>5407810.7300000004</v>
      </c>
      <c r="Y10" s="122">
        <f t="shared" si="1"/>
        <v>0</v>
      </c>
      <c r="Z10" s="122">
        <f t="shared" si="2"/>
        <v>24676033.16</v>
      </c>
      <c r="AA10" s="61"/>
    </row>
    <row r="11" spans="1:27" s="78" customFormat="1">
      <c r="A11" s="341" t="s">
        <v>84</v>
      </c>
      <c r="B11" s="344">
        <v>70630.42</v>
      </c>
      <c r="C11" s="344">
        <v>2146343.2799999998</v>
      </c>
      <c r="D11" s="344">
        <v>0</v>
      </c>
      <c r="E11" s="344">
        <v>193354</v>
      </c>
      <c r="F11" s="344">
        <v>0</v>
      </c>
      <c r="G11" s="344">
        <v>0</v>
      </c>
      <c r="H11" s="344">
        <v>370904</v>
      </c>
      <c r="I11" s="344">
        <v>0</v>
      </c>
      <c r="J11" s="344">
        <v>0</v>
      </c>
      <c r="K11" s="344">
        <v>2984478.91</v>
      </c>
      <c r="L11" s="344">
        <v>2839613.94</v>
      </c>
      <c r="M11" s="344">
        <v>0</v>
      </c>
      <c r="N11" s="116">
        <v>9725928.1300000008</v>
      </c>
      <c r="O11" s="116">
        <v>850930.68</v>
      </c>
      <c r="P11" s="344"/>
      <c r="Q11" s="344">
        <v>5532038.9000000004</v>
      </c>
      <c r="R11" s="344">
        <v>160000</v>
      </c>
      <c r="S11" s="344"/>
      <c r="T11" s="344">
        <v>9327166</v>
      </c>
      <c r="U11" s="344">
        <v>545120</v>
      </c>
      <c r="V11" s="344"/>
      <c r="W11" s="122">
        <f t="shared" si="3"/>
        <v>28204500.359999999</v>
      </c>
      <c r="X11" s="122">
        <f t="shared" si="0"/>
        <v>6542007.8999999994</v>
      </c>
      <c r="Y11" s="122">
        <f t="shared" si="1"/>
        <v>0</v>
      </c>
      <c r="Z11" s="122">
        <f t="shared" si="2"/>
        <v>34746508.259999998</v>
      </c>
      <c r="AA11" s="61"/>
    </row>
    <row r="12" spans="1:27" s="78" customFormat="1">
      <c r="A12" s="304" t="s">
        <v>85</v>
      </c>
      <c r="B12" s="344">
        <v>0</v>
      </c>
      <c r="C12" s="344">
        <v>1189658.71</v>
      </c>
      <c r="D12" s="344">
        <v>0</v>
      </c>
      <c r="E12" s="344">
        <v>205231</v>
      </c>
      <c r="F12" s="344">
        <v>0</v>
      </c>
      <c r="G12" s="344">
        <v>0</v>
      </c>
      <c r="H12" s="344">
        <v>34944</v>
      </c>
      <c r="I12" s="344">
        <v>0</v>
      </c>
      <c r="J12" s="344">
        <v>0</v>
      </c>
      <c r="K12" s="344">
        <v>4318181.32</v>
      </c>
      <c r="L12" s="344">
        <v>1174035.27</v>
      </c>
      <c r="M12" s="344">
        <v>0</v>
      </c>
      <c r="N12" s="116">
        <v>8619729.9600000009</v>
      </c>
      <c r="O12" s="116">
        <v>443002.75</v>
      </c>
      <c r="P12" s="344"/>
      <c r="Q12" s="344">
        <v>6180614.9500000002</v>
      </c>
      <c r="R12" s="344">
        <v>187210</v>
      </c>
      <c r="S12" s="344"/>
      <c r="T12" s="344">
        <v>10377969</v>
      </c>
      <c r="U12" s="344">
        <v>588938</v>
      </c>
      <c r="V12" s="344"/>
      <c r="W12" s="122">
        <f t="shared" si="3"/>
        <v>29736670.23</v>
      </c>
      <c r="X12" s="122">
        <f t="shared" si="0"/>
        <v>3582844.73</v>
      </c>
      <c r="Y12" s="122">
        <f t="shared" si="1"/>
        <v>0</v>
      </c>
      <c r="Z12" s="122">
        <f t="shared" si="2"/>
        <v>33319514.960000001</v>
      </c>
      <c r="AA12" s="61"/>
    </row>
    <row r="13" spans="1:27" s="78" customFormat="1">
      <c r="A13" s="304" t="s">
        <v>86</v>
      </c>
      <c r="B13" s="344">
        <v>0</v>
      </c>
      <c r="C13" s="344">
        <v>0</v>
      </c>
      <c r="D13" s="344">
        <v>0</v>
      </c>
      <c r="E13" s="344">
        <v>10920</v>
      </c>
      <c r="F13" s="344">
        <v>0</v>
      </c>
      <c r="G13" s="344">
        <v>0</v>
      </c>
      <c r="H13" s="344">
        <v>43095.199999999997</v>
      </c>
      <c r="I13" s="344">
        <v>0</v>
      </c>
      <c r="J13" s="344">
        <v>0</v>
      </c>
      <c r="K13" s="344">
        <v>840885.5</v>
      </c>
      <c r="L13" s="344">
        <v>0</v>
      </c>
      <c r="M13" s="344">
        <v>0</v>
      </c>
      <c r="N13" s="344">
        <v>1765079.86</v>
      </c>
      <c r="O13" s="344">
        <v>127571.59</v>
      </c>
      <c r="P13" s="344">
        <v>0</v>
      </c>
      <c r="Q13" s="128">
        <v>13400</v>
      </c>
      <c r="R13" s="128">
        <v>0</v>
      </c>
      <c r="S13" s="344">
        <v>0</v>
      </c>
      <c r="T13" s="344">
        <v>137000</v>
      </c>
      <c r="U13" s="344">
        <v>0</v>
      </c>
      <c r="V13" s="344">
        <v>0</v>
      </c>
      <c r="W13" s="122">
        <f t="shared" si="3"/>
        <v>2810380.56</v>
      </c>
      <c r="X13" s="122">
        <f t="shared" si="0"/>
        <v>127571.59</v>
      </c>
      <c r="Y13" s="122">
        <f t="shared" si="1"/>
        <v>0</v>
      </c>
      <c r="Z13" s="122">
        <f t="shared" si="2"/>
        <v>2937952.15</v>
      </c>
      <c r="AA13" s="61"/>
    </row>
    <row r="14" spans="1:27" s="78" customFormat="1">
      <c r="A14" s="304" t="s">
        <v>87</v>
      </c>
      <c r="B14" s="344">
        <v>1026429</v>
      </c>
      <c r="C14" s="344">
        <v>3375494.19</v>
      </c>
      <c r="D14" s="344">
        <v>0</v>
      </c>
      <c r="E14" s="344">
        <v>181468</v>
      </c>
      <c r="F14" s="344">
        <v>0</v>
      </c>
      <c r="G14" s="344">
        <v>0</v>
      </c>
      <c r="H14" s="344">
        <v>611907</v>
      </c>
      <c r="I14" s="344">
        <v>22668</v>
      </c>
      <c r="J14" s="344">
        <v>0</v>
      </c>
      <c r="K14" s="344">
        <v>4896798.71</v>
      </c>
      <c r="L14" s="344">
        <v>953380.78</v>
      </c>
      <c r="M14" s="344">
        <v>0</v>
      </c>
      <c r="N14" s="344">
        <v>12199433.85</v>
      </c>
      <c r="O14" s="344">
        <v>788865.75</v>
      </c>
      <c r="P14" s="344"/>
      <c r="Q14" s="128">
        <v>25941378.710000001</v>
      </c>
      <c r="R14" s="128">
        <v>884050</v>
      </c>
      <c r="S14" s="344"/>
      <c r="T14" s="344">
        <v>10206277</v>
      </c>
      <c r="U14" s="344">
        <v>294700</v>
      </c>
      <c r="V14" s="344"/>
      <c r="W14" s="122">
        <f t="shared" si="3"/>
        <v>55063692.269999996</v>
      </c>
      <c r="X14" s="122">
        <f t="shared" si="0"/>
        <v>6319158.7199999997</v>
      </c>
      <c r="Y14" s="122">
        <f t="shared" si="1"/>
        <v>0</v>
      </c>
      <c r="Z14" s="122">
        <f t="shared" si="2"/>
        <v>61382850.989999995</v>
      </c>
      <c r="AA14" s="61"/>
    </row>
    <row r="15" spans="1:27" s="78" customFormat="1">
      <c r="A15" s="304" t="s">
        <v>88</v>
      </c>
      <c r="B15" s="344">
        <v>2096086</v>
      </c>
      <c r="C15" s="344">
        <v>459064.51</v>
      </c>
      <c r="D15" s="344">
        <v>0</v>
      </c>
      <c r="E15" s="344">
        <v>144400</v>
      </c>
      <c r="F15" s="344">
        <v>0</v>
      </c>
      <c r="G15" s="344">
        <v>0</v>
      </c>
      <c r="H15" s="344">
        <f>280953.91</f>
        <v>280953.90999999997</v>
      </c>
      <c r="I15" s="344">
        <v>90000</v>
      </c>
      <c r="J15" s="344">
        <v>0</v>
      </c>
      <c r="K15" s="344">
        <v>2742415</v>
      </c>
      <c r="L15" s="344">
        <f>54282+40000</f>
        <v>94282</v>
      </c>
      <c r="M15" s="344">
        <v>0</v>
      </c>
      <c r="N15" s="344">
        <v>8890904.0999999996</v>
      </c>
      <c r="O15" s="344">
        <v>818828.93</v>
      </c>
      <c r="P15" s="344">
        <v>0</v>
      </c>
      <c r="Q15" s="128">
        <v>11372047.699999999</v>
      </c>
      <c r="R15" s="128">
        <v>117586.1</v>
      </c>
      <c r="S15" s="344">
        <v>0</v>
      </c>
      <c r="T15" s="344">
        <v>2131589.25</v>
      </c>
      <c r="U15" s="344">
        <v>105000</v>
      </c>
      <c r="V15" s="344">
        <v>0</v>
      </c>
      <c r="W15" s="122">
        <f t="shared" si="3"/>
        <v>27658395.960000001</v>
      </c>
      <c r="X15" s="122">
        <f t="shared" si="0"/>
        <v>1684761.54</v>
      </c>
      <c r="Y15" s="122">
        <f t="shared" si="1"/>
        <v>0</v>
      </c>
      <c r="Z15" s="122">
        <f t="shared" si="2"/>
        <v>29343157.5</v>
      </c>
      <c r="AA15" s="61"/>
    </row>
    <row r="16" spans="1:27">
      <c r="A16" s="304" t="s">
        <v>89</v>
      </c>
      <c r="B16" s="122">
        <v>0</v>
      </c>
      <c r="C16" s="122">
        <v>2110746.9500000002</v>
      </c>
      <c r="D16" s="122">
        <v>0</v>
      </c>
      <c r="E16" s="122">
        <v>200453</v>
      </c>
      <c r="F16" s="122">
        <v>7660</v>
      </c>
      <c r="G16" s="122">
        <v>0</v>
      </c>
      <c r="H16" s="122">
        <v>326529</v>
      </c>
      <c r="I16" s="122">
        <v>242685</v>
      </c>
      <c r="J16" s="122">
        <v>0</v>
      </c>
      <c r="K16" s="122">
        <v>2046285.43</v>
      </c>
      <c r="L16" s="122">
        <v>2529381.52</v>
      </c>
      <c r="M16" s="122">
        <v>0</v>
      </c>
      <c r="N16" s="122">
        <v>3169158.61</v>
      </c>
      <c r="O16" s="122">
        <v>729977.75</v>
      </c>
      <c r="P16" s="122"/>
      <c r="Q16" s="122">
        <v>8926100</v>
      </c>
      <c r="R16" s="122">
        <v>537670</v>
      </c>
      <c r="S16" s="122"/>
      <c r="T16" s="122">
        <v>1458298</v>
      </c>
      <c r="U16" s="122">
        <v>728559.55</v>
      </c>
      <c r="V16" s="122"/>
      <c r="W16" s="122">
        <f t="shared" si="3"/>
        <v>16126824.039999999</v>
      </c>
      <c r="X16" s="122">
        <f t="shared" si="0"/>
        <v>6886680.7700000005</v>
      </c>
      <c r="Y16" s="122">
        <f t="shared" si="1"/>
        <v>0</v>
      </c>
      <c r="Z16" s="122">
        <f t="shared" si="2"/>
        <v>23013504.809999999</v>
      </c>
    </row>
    <row r="17" spans="1:40" s="78" customFormat="1">
      <c r="A17" s="304" t="s">
        <v>90</v>
      </c>
      <c r="B17" s="344">
        <v>216000</v>
      </c>
      <c r="C17" s="344">
        <v>245961.28</v>
      </c>
      <c r="D17" s="344">
        <v>0</v>
      </c>
      <c r="E17" s="344">
        <v>133280</v>
      </c>
      <c r="F17" s="344">
        <v>0</v>
      </c>
      <c r="G17" s="344">
        <v>0</v>
      </c>
      <c r="H17" s="344">
        <v>391134.8</v>
      </c>
      <c r="I17" s="344">
        <v>0</v>
      </c>
      <c r="J17" s="344">
        <v>0</v>
      </c>
      <c r="K17" s="344">
        <v>2228466.3199999998</v>
      </c>
      <c r="L17" s="344">
        <v>341755.99</v>
      </c>
      <c r="M17" s="344">
        <v>0</v>
      </c>
      <c r="N17" s="344">
        <v>4242992.87</v>
      </c>
      <c r="O17" s="344">
        <v>101793.67</v>
      </c>
      <c r="P17" s="344"/>
      <c r="Q17" s="128">
        <v>6341924.9100000001</v>
      </c>
      <c r="R17" s="128">
        <v>86347.97</v>
      </c>
      <c r="S17" s="344"/>
      <c r="T17" s="344">
        <v>2545559.5</v>
      </c>
      <c r="U17" s="344">
        <v>6750</v>
      </c>
      <c r="V17" s="344"/>
      <c r="W17" s="122">
        <f t="shared" si="3"/>
        <v>16099358.4</v>
      </c>
      <c r="X17" s="122">
        <f t="shared" si="0"/>
        <v>782608.91</v>
      </c>
      <c r="Y17" s="122">
        <f t="shared" si="1"/>
        <v>0</v>
      </c>
      <c r="Z17" s="122">
        <f t="shared" si="2"/>
        <v>16881967.309999999</v>
      </c>
      <c r="AA17" s="61"/>
    </row>
    <row r="18" spans="1:40" s="78" customFormat="1">
      <c r="A18" s="304" t="s">
        <v>91</v>
      </c>
      <c r="B18" s="344">
        <v>0</v>
      </c>
      <c r="C18" s="344">
        <v>3035425.26</v>
      </c>
      <c r="D18" s="344">
        <v>0</v>
      </c>
      <c r="E18" s="344">
        <v>238760</v>
      </c>
      <c r="F18" s="344">
        <v>0</v>
      </c>
      <c r="G18" s="344">
        <v>0</v>
      </c>
      <c r="H18" s="344">
        <v>418113.4</v>
      </c>
      <c r="I18" s="344">
        <v>135214.72</v>
      </c>
      <c r="J18" s="344">
        <v>0</v>
      </c>
      <c r="K18" s="344">
        <v>2514673.2999999998</v>
      </c>
      <c r="L18" s="344">
        <v>1284075.68</v>
      </c>
      <c r="M18" s="344">
        <v>0</v>
      </c>
      <c r="N18" s="344">
        <v>15241877.4</v>
      </c>
      <c r="O18" s="344">
        <v>4473525.53</v>
      </c>
      <c r="P18" s="344">
        <v>0</v>
      </c>
      <c r="Q18" s="128">
        <v>17959216.219999999</v>
      </c>
      <c r="R18" s="128">
        <v>664776.99</v>
      </c>
      <c r="S18" s="344">
        <v>0</v>
      </c>
      <c r="T18" s="344">
        <v>11887792.449999999</v>
      </c>
      <c r="U18" s="344">
        <v>116000</v>
      </c>
      <c r="V18" s="344"/>
      <c r="W18" s="122">
        <f t="shared" si="3"/>
        <v>48260432.769999996</v>
      </c>
      <c r="X18" s="122">
        <f t="shared" si="0"/>
        <v>9709018.1800000016</v>
      </c>
      <c r="Y18" s="122">
        <f t="shared" si="1"/>
        <v>0</v>
      </c>
      <c r="Z18" s="122">
        <f t="shared" si="2"/>
        <v>57969450.949999996</v>
      </c>
      <c r="AA18" s="61"/>
    </row>
    <row r="19" spans="1:40" s="78" customFormat="1">
      <c r="A19" s="304" t="s">
        <v>92</v>
      </c>
      <c r="B19" s="344">
        <v>269160</v>
      </c>
      <c r="C19" s="344">
        <v>6805274.2300000004</v>
      </c>
      <c r="D19" s="344">
        <v>0</v>
      </c>
      <c r="E19" s="344">
        <v>364236</v>
      </c>
      <c r="F19" s="344">
        <v>0</v>
      </c>
      <c r="G19" s="344">
        <v>0</v>
      </c>
      <c r="H19" s="344">
        <v>614399</v>
      </c>
      <c r="I19" s="344">
        <v>137763</v>
      </c>
      <c r="J19" s="344">
        <v>0</v>
      </c>
      <c r="K19" s="344">
        <v>3234222.29</v>
      </c>
      <c r="L19" s="344">
        <v>5151267.74</v>
      </c>
      <c r="M19" s="344">
        <v>0</v>
      </c>
      <c r="N19" s="344">
        <v>3884908.23</v>
      </c>
      <c r="O19" s="344">
        <v>817200.24</v>
      </c>
      <c r="P19" s="344"/>
      <c r="Q19" s="128">
        <v>22410213.059999999</v>
      </c>
      <c r="R19" s="128">
        <v>2048061.02</v>
      </c>
      <c r="S19" s="344"/>
      <c r="T19" s="344">
        <v>3001711</v>
      </c>
      <c r="U19" s="344">
        <v>681300</v>
      </c>
      <c r="V19" s="344"/>
      <c r="W19" s="122">
        <f t="shared" si="3"/>
        <v>33778849.579999998</v>
      </c>
      <c r="X19" s="122">
        <f t="shared" si="0"/>
        <v>15640866.23</v>
      </c>
      <c r="Y19" s="122">
        <f t="shared" si="1"/>
        <v>0</v>
      </c>
      <c r="Z19" s="122">
        <f t="shared" si="2"/>
        <v>49419715.810000002</v>
      </c>
      <c r="AA19" s="61"/>
    </row>
    <row r="20" spans="1:40" s="78" customFormat="1">
      <c r="A20" s="304" t="s">
        <v>93</v>
      </c>
      <c r="B20" s="344">
        <v>2837381.1200000001</v>
      </c>
      <c r="C20" s="344">
        <f>2575878.21+180448</f>
        <v>2756326.21</v>
      </c>
      <c r="D20" s="344">
        <v>0</v>
      </c>
      <c r="E20" s="122">
        <v>0</v>
      </c>
      <c r="F20" s="122">
        <v>0</v>
      </c>
      <c r="G20" s="122">
        <v>0</v>
      </c>
      <c r="H20" s="344">
        <v>1663561.48</v>
      </c>
      <c r="I20" s="344">
        <v>14400</v>
      </c>
      <c r="J20" s="344">
        <v>0</v>
      </c>
      <c r="K20" s="344">
        <v>4009397.27</v>
      </c>
      <c r="L20" s="344">
        <v>1052482.6200000001</v>
      </c>
      <c r="M20" s="344">
        <v>0</v>
      </c>
      <c r="N20" s="344">
        <v>7878451.3300000001</v>
      </c>
      <c r="O20" s="344">
        <v>20397.75</v>
      </c>
      <c r="P20" s="344">
        <v>0</v>
      </c>
      <c r="Q20" s="344">
        <v>27028539.48</v>
      </c>
      <c r="R20" s="344">
        <v>1216250</v>
      </c>
      <c r="S20" s="344"/>
      <c r="T20" s="128">
        <v>4633402.13</v>
      </c>
      <c r="U20" s="128">
        <v>1005609.4</v>
      </c>
      <c r="V20" s="344"/>
      <c r="W20" s="122">
        <f t="shared" si="3"/>
        <v>48050732.810000002</v>
      </c>
      <c r="X20" s="122">
        <f t="shared" si="0"/>
        <v>6065465.9800000004</v>
      </c>
      <c r="Y20" s="122">
        <f t="shared" si="1"/>
        <v>0</v>
      </c>
      <c r="Z20" s="122">
        <f t="shared" si="2"/>
        <v>54116198.790000007</v>
      </c>
      <c r="AA20" s="61"/>
    </row>
    <row r="21" spans="1:40" s="78" customFormat="1">
      <c r="A21" s="304" t="s">
        <v>94</v>
      </c>
      <c r="B21" s="344">
        <v>247080</v>
      </c>
      <c r="C21" s="344">
        <f>2597339.3+31392</f>
        <v>2628731.2999999998</v>
      </c>
      <c r="D21" s="344">
        <v>0</v>
      </c>
      <c r="E21" s="344">
        <v>0</v>
      </c>
      <c r="F21" s="344">
        <v>0</v>
      </c>
      <c r="G21" s="344">
        <v>0</v>
      </c>
      <c r="H21" s="344">
        <v>865345.59</v>
      </c>
      <c r="I21" s="344">
        <v>11620</v>
      </c>
      <c r="J21" s="344">
        <v>0</v>
      </c>
      <c r="K21" s="344">
        <v>2367229.44</v>
      </c>
      <c r="L21" s="344">
        <v>1645079.75</v>
      </c>
      <c r="M21" s="344">
        <v>0</v>
      </c>
      <c r="N21" s="344">
        <v>2628503.62</v>
      </c>
      <c r="O21" s="344">
        <v>463849.79</v>
      </c>
      <c r="P21" s="344"/>
      <c r="Q21" s="128">
        <v>12598606.35</v>
      </c>
      <c r="R21" s="128">
        <v>815570</v>
      </c>
      <c r="S21" s="344"/>
      <c r="T21" s="344">
        <v>764702</v>
      </c>
      <c r="U21" s="344">
        <v>427722.6</v>
      </c>
      <c r="V21" s="344"/>
      <c r="W21" s="122">
        <f t="shared" si="3"/>
        <v>19471467</v>
      </c>
      <c r="X21" s="122">
        <f t="shared" si="0"/>
        <v>5992573.4399999995</v>
      </c>
      <c r="Y21" s="122">
        <f t="shared" si="1"/>
        <v>0</v>
      </c>
      <c r="Z21" s="122">
        <f t="shared" si="2"/>
        <v>25464040.439999998</v>
      </c>
      <c r="AA21" s="61"/>
    </row>
    <row r="22" spans="1:40" s="78" customFormat="1" ht="21.75" thickBot="1">
      <c r="A22" s="365" t="s">
        <v>95</v>
      </c>
      <c r="B22" s="264">
        <v>1836644</v>
      </c>
      <c r="C22" s="264">
        <v>2880266</v>
      </c>
      <c r="D22" s="344">
        <v>0</v>
      </c>
      <c r="E22" s="344">
        <v>0</v>
      </c>
      <c r="F22" s="344">
        <v>0</v>
      </c>
      <c r="G22" s="344">
        <v>0</v>
      </c>
      <c r="H22" s="344">
        <v>0</v>
      </c>
      <c r="I22" s="344">
        <v>0</v>
      </c>
      <c r="J22" s="344">
        <v>0</v>
      </c>
      <c r="K22" s="263">
        <v>5704899.7800000003</v>
      </c>
      <c r="L22" s="263">
        <v>1145898.75</v>
      </c>
      <c r="M22" s="344">
        <v>0</v>
      </c>
      <c r="N22" s="263">
        <v>20150564.789999999</v>
      </c>
      <c r="O22" s="263">
        <v>952624.11</v>
      </c>
      <c r="P22" s="344">
        <v>0</v>
      </c>
      <c r="Q22" s="263">
        <v>18201119.300000001</v>
      </c>
      <c r="R22" s="263">
        <v>462240</v>
      </c>
      <c r="S22" s="344">
        <v>0</v>
      </c>
      <c r="T22" s="264">
        <v>10396023.800000001</v>
      </c>
      <c r="U22" s="264">
        <v>180870</v>
      </c>
      <c r="V22" s="344">
        <v>0</v>
      </c>
      <c r="W22" s="122">
        <f t="shared" si="3"/>
        <v>56289251.670000002</v>
      </c>
      <c r="X22" s="122">
        <f t="shared" si="0"/>
        <v>5621898.8600000003</v>
      </c>
      <c r="Y22" s="122">
        <f t="shared" si="1"/>
        <v>0</v>
      </c>
      <c r="Z22" s="122">
        <f t="shared" si="2"/>
        <v>61911150.530000001</v>
      </c>
      <c r="AA22" s="61"/>
    </row>
    <row r="23" spans="1:40" s="306" customFormat="1" ht="21.75" thickBot="1">
      <c r="A23" s="305" t="s">
        <v>8</v>
      </c>
      <c r="B23" s="351">
        <f>SUM(B7:B22)</f>
        <v>10105350.539999999</v>
      </c>
      <c r="C23" s="351">
        <f t="shared" ref="C23:Y23" si="4">SUM(C7:C22)</f>
        <v>41423109.18</v>
      </c>
      <c r="D23" s="351">
        <f t="shared" si="4"/>
        <v>0</v>
      </c>
      <c r="E23" s="351">
        <f t="shared" si="4"/>
        <v>3858105.8</v>
      </c>
      <c r="F23" s="351">
        <f t="shared" si="4"/>
        <v>7660</v>
      </c>
      <c r="G23" s="351">
        <f t="shared" si="4"/>
        <v>0</v>
      </c>
      <c r="H23" s="351">
        <f t="shared" si="4"/>
        <v>6155511.4199999999</v>
      </c>
      <c r="I23" s="351">
        <f t="shared" si="4"/>
        <v>6164057.3099999996</v>
      </c>
      <c r="J23" s="351">
        <f t="shared" si="4"/>
        <v>0</v>
      </c>
      <c r="K23" s="351">
        <f t="shared" si="4"/>
        <v>57487369.140000001</v>
      </c>
      <c r="L23" s="351">
        <f t="shared" si="4"/>
        <v>37359782.32</v>
      </c>
      <c r="M23" s="351">
        <f t="shared" si="4"/>
        <v>0</v>
      </c>
      <c r="N23" s="351">
        <f t="shared" si="4"/>
        <v>153235416.45000002</v>
      </c>
      <c r="O23" s="351">
        <f t="shared" si="4"/>
        <v>17358761.43</v>
      </c>
      <c r="P23" s="351">
        <f t="shared" si="4"/>
        <v>0</v>
      </c>
      <c r="Q23" s="351">
        <f t="shared" si="4"/>
        <v>198260080.38</v>
      </c>
      <c r="R23" s="351">
        <f t="shared" si="4"/>
        <v>9699182.0800000001</v>
      </c>
      <c r="S23" s="351">
        <f t="shared" si="4"/>
        <v>0</v>
      </c>
      <c r="T23" s="351">
        <f t="shared" si="4"/>
        <v>86950519.179999992</v>
      </c>
      <c r="U23" s="351">
        <f t="shared" si="4"/>
        <v>12163151.300000001</v>
      </c>
      <c r="V23" s="351">
        <f t="shared" si="4"/>
        <v>0</v>
      </c>
      <c r="W23" s="351">
        <f>SUM(W7:W22)</f>
        <v>516052352.90999997</v>
      </c>
      <c r="X23" s="351">
        <f>SUM(X7:X22)</f>
        <v>124175703.62</v>
      </c>
      <c r="Y23" s="351">
        <f t="shared" si="4"/>
        <v>0</v>
      </c>
      <c r="Z23" s="351">
        <f>SUM(Z7:Z22)</f>
        <v>640228056.52999997</v>
      </c>
      <c r="AA23" s="61"/>
      <c r="AB23" s="262"/>
      <c r="AC23" s="262"/>
      <c r="AD23" s="262"/>
      <c r="AE23" s="262"/>
      <c r="AF23" s="262"/>
      <c r="AG23" s="262"/>
      <c r="AH23" s="262"/>
      <c r="AI23" s="262"/>
      <c r="AJ23" s="262"/>
      <c r="AK23" s="262"/>
      <c r="AL23" s="262"/>
      <c r="AM23" s="262"/>
      <c r="AN23" s="262"/>
    </row>
    <row r="24" spans="1:40" s="78" customFormat="1">
      <c r="A24" s="307" t="s">
        <v>96</v>
      </c>
      <c r="B24" s="352"/>
      <c r="C24" s="352"/>
      <c r="D24" s="352"/>
      <c r="E24" s="352"/>
      <c r="F24" s="352"/>
      <c r="G24" s="352"/>
      <c r="H24" s="352"/>
      <c r="I24" s="352"/>
      <c r="J24" s="352"/>
      <c r="K24" s="352"/>
      <c r="L24" s="352"/>
      <c r="M24" s="352"/>
      <c r="N24" s="352"/>
      <c r="O24" s="352"/>
      <c r="P24" s="352"/>
      <c r="Q24" s="352"/>
      <c r="R24" s="352"/>
      <c r="S24" s="352"/>
      <c r="T24" s="352"/>
      <c r="U24" s="352"/>
      <c r="V24" s="352"/>
      <c r="W24" s="353"/>
      <c r="X24" s="353"/>
      <c r="Y24" s="353"/>
      <c r="Z24" s="353"/>
      <c r="AA24" s="61"/>
    </row>
    <row r="25" spans="1:40" s="78" customFormat="1">
      <c r="A25" s="303" t="s">
        <v>97</v>
      </c>
      <c r="B25" s="344">
        <v>225084409.36000001</v>
      </c>
      <c r="C25" s="344">
        <v>9393831.3699999992</v>
      </c>
      <c r="D25" s="116">
        <v>9963717.0500000007</v>
      </c>
      <c r="E25" s="344">
        <v>2791400.31</v>
      </c>
      <c r="F25" s="344">
        <v>0</v>
      </c>
      <c r="G25" s="344">
        <v>0</v>
      </c>
      <c r="H25" s="344">
        <v>1924122.2</v>
      </c>
      <c r="I25" s="344">
        <v>0</v>
      </c>
      <c r="J25" s="344">
        <v>0</v>
      </c>
      <c r="K25" s="344">
        <v>66416497.18</v>
      </c>
      <c r="L25" s="344">
        <v>19216349.25</v>
      </c>
      <c r="M25" s="344">
        <v>0</v>
      </c>
      <c r="N25" s="116">
        <v>11379086.869999999</v>
      </c>
      <c r="O25" s="116">
        <v>6625365.9900000002</v>
      </c>
      <c r="P25" s="344"/>
      <c r="Q25" s="344">
        <v>127175252.12</v>
      </c>
      <c r="R25" s="344">
        <v>329040</v>
      </c>
      <c r="S25" s="344"/>
      <c r="T25" s="344">
        <v>17011449.600000001</v>
      </c>
      <c r="U25" s="344">
        <v>3275720</v>
      </c>
      <c r="V25" s="344"/>
      <c r="W25" s="122">
        <f>+B25+E25+H25+K25+N25+Q25+T25</f>
        <v>451782217.64000005</v>
      </c>
      <c r="X25" s="122">
        <f t="shared" ref="X25:Y31" si="5">+C25+F25+I25+L25+O25+R25+U25</f>
        <v>38840306.609999999</v>
      </c>
      <c r="Y25" s="122">
        <f t="shared" si="5"/>
        <v>9963717.0500000007</v>
      </c>
      <c r="Z25" s="122">
        <f>+W25+X25+Y25</f>
        <v>500586241.30000007</v>
      </c>
      <c r="AA25" s="61"/>
    </row>
    <row r="26" spans="1:40" s="78" customFormat="1">
      <c r="A26" s="303" t="s">
        <v>102</v>
      </c>
      <c r="B26" s="344">
        <v>0</v>
      </c>
      <c r="C26" s="344">
        <v>1472002.68</v>
      </c>
      <c r="D26" s="344">
        <v>0</v>
      </c>
      <c r="E26" s="344">
        <v>0</v>
      </c>
      <c r="F26" s="344">
        <v>0</v>
      </c>
      <c r="G26" s="344">
        <v>0</v>
      </c>
      <c r="H26" s="344">
        <v>0</v>
      </c>
      <c r="I26" s="344">
        <v>0</v>
      </c>
      <c r="J26" s="344">
        <v>0</v>
      </c>
      <c r="K26" s="344">
        <v>10042258.210000001</v>
      </c>
      <c r="L26" s="344">
        <v>3206794.32</v>
      </c>
      <c r="M26" s="344">
        <v>0</v>
      </c>
      <c r="N26" s="116">
        <v>0</v>
      </c>
      <c r="O26" s="116">
        <v>0</v>
      </c>
      <c r="P26" s="344"/>
      <c r="Q26" s="344">
        <v>0</v>
      </c>
      <c r="R26" s="344">
        <v>0</v>
      </c>
      <c r="S26" s="344"/>
      <c r="T26" s="344">
        <v>0</v>
      </c>
      <c r="U26" s="344">
        <v>54400</v>
      </c>
      <c r="V26" s="344"/>
      <c r="W26" s="122">
        <f t="shared" ref="W26:W30" si="6">+B26+E26+H26+K26+N26+Q26+T26</f>
        <v>10042258.210000001</v>
      </c>
      <c r="X26" s="122">
        <f t="shared" si="5"/>
        <v>4733197</v>
      </c>
      <c r="Y26" s="122">
        <f t="shared" si="5"/>
        <v>0</v>
      </c>
      <c r="Z26" s="122">
        <f t="shared" ref="Z26:Z30" si="7">+W26+X26+Y26</f>
        <v>14775455.210000001</v>
      </c>
      <c r="AA26" s="61"/>
    </row>
    <row r="27" spans="1:40" s="78" customFormat="1">
      <c r="A27" s="303" t="s">
        <v>98</v>
      </c>
      <c r="B27" s="344">
        <v>270240</v>
      </c>
      <c r="C27" s="344">
        <v>4137860</v>
      </c>
      <c r="D27" s="344">
        <v>0</v>
      </c>
      <c r="E27" s="344">
        <v>9760</v>
      </c>
      <c r="F27" s="344">
        <v>0</v>
      </c>
      <c r="G27" s="344">
        <v>0</v>
      </c>
      <c r="H27" s="344">
        <v>6080</v>
      </c>
      <c r="I27" s="344">
        <v>25290</v>
      </c>
      <c r="J27" s="344">
        <v>0</v>
      </c>
      <c r="K27" s="344">
        <v>3961545.05</v>
      </c>
      <c r="L27" s="344">
        <v>3434509.26</v>
      </c>
      <c r="M27" s="344">
        <v>0</v>
      </c>
      <c r="N27" s="344">
        <v>6536916.6100000003</v>
      </c>
      <c r="O27" s="344">
        <v>3093900.69</v>
      </c>
      <c r="P27" s="344"/>
      <c r="Q27" s="344">
        <v>2830920</v>
      </c>
      <c r="R27" s="344"/>
      <c r="S27" s="344"/>
      <c r="T27" s="344">
        <v>671835</v>
      </c>
      <c r="U27" s="344">
        <v>860000</v>
      </c>
      <c r="V27" s="344"/>
      <c r="W27" s="122">
        <f t="shared" si="6"/>
        <v>14287296.66</v>
      </c>
      <c r="X27" s="122">
        <f t="shared" si="5"/>
        <v>11551559.949999999</v>
      </c>
      <c r="Y27" s="122">
        <f t="shared" si="5"/>
        <v>0</v>
      </c>
      <c r="Z27" s="122">
        <f t="shared" si="7"/>
        <v>25838856.609999999</v>
      </c>
      <c r="AA27" s="61"/>
    </row>
    <row r="28" spans="1:40" s="78" customFormat="1">
      <c r="A28" s="303" t="s">
        <v>99</v>
      </c>
      <c r="B28" s="344">
        <v>1157880</v>
      </c>
      <c r="C28" s="344">
        <v>1904629.56</v>
      </c>
      <c r="D28" s="344">
        <v>0</v>
      </c>
      <c r="E28" s="344">
        <v>103260</v>
      </c>
      <c r="F28" s="344">
        <v>0</v>
      </c>
      <c r="G28" s="344">
        <v>0</v>
      </c>
      <c r="H28" s="344">
        <v>341115.49</v>
      </c>
      <c r="I28" s="344">
        <v>0</v>
      </c>
      <c r="J28" s="344">
        <v>0</v>
      </c>
      <c r="K28" s="344">
        <v>6480486.71</v>
      </c>
      <c r="L28" s="344">
        <v>492237</v>
      </c>
      <c r="M28" s="344">
        <v>0</v>
      </c>
      <c r="N28" s="344">
        <v>10199344.93</v>
      </c>
      <c r="O28" s="344">
        <v>1035518.78</v>
      </c>
      <c r="P28" s="344">
        <v>0</v>
      </c>
      <c r="Q28" s="344">
        <v>3173429.94</v>
      </c>
      <c r="R28" s="344">
        <v>0</v>
      </c>
      <c r="S28" s="344">
        <v>0</v>
      </c>
      <c r="T28" s="344">
        <v>2828555.89</v>
      </c>
      <c r="U28" s="344">
        <v>168800</v>
      </c>
      <c r="V28" s="344">
        <v>0</v>
      </c>
      <c r="W28" s="122">
        <f t="shared" si="6"/>
        <v>24284072.960000001</v>
      </c>
      <c r="X28" s="122">
        <f t="shared" si="5"/>
        <v>3601185.34</v>
      </c>
      <c r="Y28" s="122">
        <f t="shared" si="5"/>
        <v>0</v>
      </c>
      <c r="Z28" s="122">
        <f t="shared" si="7"/>
        <v>27885258.300000001</v>
      </c>
      <c r="AA28" s="61"/>
    </row>
    <row r="29" spans="1:40" s="78" customFormat="1">
      <c r="A29" s="303" t="s">
        <v>100</v>
      </c>
      <c r="B29" s="344">
        <v>1269305.6100000001</v>
      </c>
      <c r="C29" s="344">
        <f>4974845.63+109140</f>
        <v>5083985.63</v>
      </c>
      <c r="D29" s="344">
        <v>0</v>
      </c>
      <c r="E29" s="344">
        <v>11916</v>
      </c>
      <c r="F29" s="344">
        <v>8916</v>
      </c>
      <c r="G29" s="344">
        <v>0</v>
      </c>
      <c r="H29" s="344">
        <v>326899.98</v>
      </c>
      <c r="I29" s="344">
        <v>48347</v>
      </c>
      <c r="J29" s="344">
        <v>0</v>
      </c>
      <c r="K29" s="344">
        <v>7377809.3200000003</v>
      </c>
      <c r="L29" s="344">
        <v>1465749.68</v>
      </c>
      <c r="M29" s="344">
        <v>0</v>
      </c>
      <c r="N29" s="344">
        <v>30819501.75</v>
      </c>
      <c r="O29" s="344">
        <v>5325839.67</v>
      </c>
      <c r="P29" s="344"/>
      <c r="Q29" s="344">
        <v>6889675.7300000004</v>
      </c>
      <c r="R29" s="344"/>
      <c r="S29" s="344"/>
      <c r="T29" s="344">
        <v>3809712.15</v>
      </c>
      <c r="U29" s="344">
        <v>344700</v>
      </c>
      <c r="V29" s="344"/>
      <c r="W29" s="122">
        <f t="shared" si="6"/>
        <v>50504820.539999999</v>
      </c>
      <c r="X29" s="122">
        <f t="shared" si="5"/>
        <v>12277537.98</v>
      </c>
      <c r="Y29" s="122">
        <f t="shared" si="5"/>
        <v>0</v>
      </c>
      <c r="Z29" s="122">
        <f t="shared" si="7"/>
        <v>62782358.519999996</v>
      </c>
      <c r="AA29" s="61"/>
    </row>
    <row r="30" spans="1:40" s="78" customFormat="1">
      <c r="A30" s="303" t="s">
        <v>101</v>
      </c>
      <c r="B30" s="344">
        <v>0</v>
      </c>
      <c r="C30" s="344">
        <f>162300+13659</f>
        <v>175959</v>
      </c>
      <c r="D30" s="344">
        <v>0</v>
      </c>
      <c r="E30" s="344">
        <v>48768</v>
      </c>
      <c r="F30" s="344">
        <v>0</v>
      </c>
      <c r="G30" s="344">
        <v>0</v>
      </c>
      <c r="H30" s="344">
        <v>476221.61</v>
      </c>
      <c r="I30" s="344">
        <v>0</v>
      </c>
      <c r="J30" s="344">
        <v>0</v>
      </c>
      <c r="K30" s="344">
        <v>413878.38</v>
      </c>
      <c r="L30" s="344">
        <v>229679.37</v>
      </c>
      <c r="M30" s="344">
        <v>0</v>
      </c>
      <c r="N30" s="344">
        <v>55193.49</v>
      </c>
      <c r="O30" s="344">
        <v>77979.67</v>
      </c>
      <c r="P30" s="344"/>
      <c r="Q30" s="344">
        <v>1739400</v>
      </c>
      <c r="R30" s="344"/>
      <c r="S30" s="344"/>
      <c r="T30" s="344">
        <v>2991542.34</v>
      </c>
      <c r="U30" s="344">
        <v>0</v>
      </c>
      <c r="V30" s="344"/>
      <c r="W30" s="122">
        <f t="shared" si="6"/>
        <v>5725003.8200000003</v>
      </c>
      <c r="X30" s="122">
        <f t="shared" si="5"/>
        <v>483618.04</v>
      </c>
      <c r="Y30" s="122">
        <f t="shared" si="5"/>
        <v>0</v>
      </c>
      <c r="Z30" s="122">
        <f t="shared" si="7"/>
        <v>6208621.8600000003</v>
      </c>
      <c r="AA30" s="61"/>
    </row>
    <row r="31" spans="1:40" s="78" customFormat="1" ht="21.75" thickBot="1">
      <c r="A31" s="130" t="s">
        <v>151</v>
      </c>
      <c r="B31" s="264">
        <v>0</v>
      </c>
      <c r="C31" s="264">
        <f>1155600+58465</f>
        <v>1214065</v>
      </c>
      <c r="D31" s="264">
        <v>0</v>
      </c>
      <c r="E31" s="264">
        <v>0</v>
      </c>
      <c r="F31" s="264">
        <v>0</v>
      </c>
      <c r="G31" s="264">
        <v>0</v>
      </c>
      <c r="H31" s="264">
        <v>960</v>
      </c>
      <c r="I31" s="264">
        <v>72758</v>
      </c>
      <c r="J31" s="264">
        <v>0</v>
      </c>
      <c r="K31" s="264">
        <v>2068000.2</v>
      </c>
      <c r="L31" s="264">
        <v>1234980.97</v>
      </c>
      <c r="M31" s="264">
        <v>0</v>
      </c>
      <c r="N31" s="264">
        <v>631469.56000000006</v>
      </c>
      <c r="O31" s="264">
        <v>2511.16</v>
      </c>
      <c r="P31" s="264"/>
      <c r="Q31" s="264">
        <v>5135295.1100000003</v>
      </c>
      <c r="R31" s="264"/>
      <c r="S31" s="264"/>
      <c r="T31" s="264">
        <v>1515105</v>
      </c>
      <c r="U31" s="264">
        <v>265000</v>
      </c>
      <c r="V31" s="264"/>
      <c r="W31" s="122">
        <f>+B31+E31+H31+K31+N31+Q31+T31</f>
        <v>9350829.870000001</v>
      </c>
      <c r="X31" s="122">
        <f>+C31+F31+I31+L31+O31+R31+U31</f>
        <v>2789315.13</v>
      </c>
      <c r="Y31" s="122">
        <f t="shared" si="5"/>
        <v>0</v>
      </c>
      <c r="Z31" s="122">
        <f>+W31+X31+Y31</f>
        <v>12140145</v>
      </c>
      <c r="AA31" s="61"/>
    </row>
    <row r="32" spans="1:40" s="262" customFormat="1" ht="21.75" thickBot="1">
      <c r="A32" s="308" t="s">
        <v>8</v>
      </c>
      <c r="B32" s="354">
        <f>SUM(B25:B31)</f>
        <v>227781834.97000003</v>
      </c>
      <c r="C32" s="354">
        <f t="shared" ref="C32:V32" si="8">SUM(C25:C31)</f>
        <v>23382333.239999998</v>
      </c>
      <c r="D32" s="354">
        <f t="shared" si="8"/>
        <v>9963717.0500000007</v>
      </c>
      <c r="E32" s="354">
        <f t="shared" si="8"/>
        <v>2965104.31</v>
      </c>
      <c r="F32" s="354">
        <f t="shared" si="8"/>
        <v>8916</v>
      </c>
      <c r="G32" s="354">
        <f t="shared" si="8"/>
        <v>0</v>
      </c>
      <c r="H32" s="354">
        <f t="shared" si="8"/>
        <v>3075399.28</v>
      </c>
      <c r="I32" s="354">
        <f t="shared" si="8"/>
        <v>146395</v>
      </c>
      <c r="J32" s="354">
        <f t="shared" si="8"/>
        <v>0</v>
      </c>
      <c r="K32" s="354">
        <f t="shared" si="8"/>
        <v>96760475.049999997</v>
      </c>
      <c r="L32" s="354">
        <f t="shared" si="8"/>
        <v>29280299.849999998</v>
      </c>
      <c r="M32" s="354">
        <f t="shared" si="8"/>
        <v>0</v>
      </c>
      <c r="N32" s="354">
        <f t="shared" si="8"/>
        <v>59621513.210000001</v>
      </c>
      <c r="O32" s="354">
        <f t="shared" si="8"/>
        <v>16161115.959999999</v>
      </c>
      <c r="P32" s="354">
        <f t="shared" si="8"/>
        <v>0</v>
      </c>
      <c r="Q32" s="354">
        <f t="shared" si="8"/>
        <v>146943972.90000001</v>
      </c>
      <c r="R32" s="354">
        <f t="shared" si="8"/>
        <v>329040</v>
      </c>
      <c r="S32" s="354">
        <f t="shared" si="8"/>
        <v>0</v>
      </c>
      <c r="T32" s="354">
        <f t="shared" si="8"/>
        <v>28828199.98</v>
      </c>
      <c r="U32" s="354">
        <f t="shared" si="8"/>
        <v>4968620</v>
      </c>
      <c r="V32" s="354">
        <f t="shared" si="8"/>
        <v>0</v>
      </c>
      <c r="W32" s="354">
        <f>SUM(W25:W31)</f>
        <v>565976499.70000005</v>
      </c>
      <c r="X32" s="354">
        <f>SUM(X25:X31)</f>
        <v>74276720.050000012</v>
      </c>
      <c r="Y32" s="354">
        <f>SUM(Y25:Y31)</f>
        <v>9963717.0500000007</v>
      </c>
      <c r="Z32" s="354">
        <f>SUM(Z25:Z31)</f>
        <v>650216936.79999995</v>
      </c>
      <c r="AA32" s="61"/>
    </row>
    <row r="33" spans="1:27" s="262" customFormat="1" ht="22.5" thickTop="1" thickBot="1">
      <c r="A33" s="309" t="s">
        <v>63</v>
      </c>
      <c r="B33" s="355">
        <f>+B23+B32</f>
        <v>237887185.51000002</v>
      </c>
      <c r="C33" s="355">
        <f t="shared" ref="C33:V33" si="9">+C23+C32</f>
        <v>64805442.420000002</v>
      </c>
      <c r="D33" s="355">
        <f t="shared" si="9"/>
        <v>9963717.0500000007</v>
      </c>
      <c r="E33" s="355">
        <f t="shared" si="9"/>
        <v>6823210.1099999994</v>
      </c>
      <c r="F33" s="355">
        <f t="shared" si="9"/>
        <v>16576</v>
      </c>
      <c r="G33" s="355">
        <f t="shared" si="9"/>
        <v>0</v>
      </c>
      <c r="H33" s="355">
        <f t="shared" si="9"/>
        <v>9230910.6999999993</v>
      </c>
      <c r="I33" s="355">
        <f t="shared" si="9"/>
        <v>6310452.3099999996</v>
      </c>
      <c r="J33" s="355">
        <f t="shared" si="9"/>
        <v>0</v>
      </c>
      <c r="K33" s="355">
        <f t="shared" si="9"/>
        <v>154247844.19</v>
      </c>
      <c r="L33" s="355">
        <f t="shared" si="9"/>
        <v>66640082.170000002</v>
      </c>
      <c r="M33" s="355">
        <f t="shared" si="9"/>
        <v>0</v>
      </c>
      <c r="N33" s="355">
        <f t="shared" si="9"/>
        <v>212856929.66000003</v>
      </c>
      <c r="O33" s="355">
        <f t="shared" si="9"/>
        <v>33519877.390000001</v>
      </c>
      <c r="P33" s="355">
        <f t="shared" si="9"/>
        <v>0</v>
      </c>
      <c r="Q33" s="355">
        <f t="shared" si="9"/>
        <v>345204053.27999997</v>
      </c>
      <c r="R33" s="355">
        <f t="shared" si="9"/>
        <v>10028222.08</v>
      </c>
      <c r="S33" s="355">
        <f t="shared" si="9"/>
        <v>0</v>
      </c>
      <c r="T33" s="355">
        <f t="shared" si="9"/>
        <v>115778719.16</v>
      </c>
      <c r="U33" s="355">
        <f t="shared" si="9"/>
        <v>17131771.300000001</v>
      </c>
      <c r="V33" s="355">
        <f t="shared" si="9"/>
        <v>0</v>
      </c>
      <c r="W33" s="355">
        <f>+W23+W32</f>
        <v>1082028852.6100001</v>
      </c>
      <c r="X33" s="355">
        <f>+X23+X32</f>
        <v>198452423.67000002</v>
      </c>
      <c r="Y33" s="355">
        <f>+Y23+Y32</f>
        <v>9963717.0500000007</v>
      </c>
      <c r="Z33" s="355">
        <f>+Z23+Z32</f>
        <v>1290444993.3299999</v>
      </c>
      <c r="AA33" s="61"/>
    </row>
    <row r="34" spans="1:27" s="262" customFormat="1" ht="21.75" thickTop="1">
      <c r="A34" s="350" t="s">
        <v>440</v>
      </c>
      <c r="B34" s="340"/>
      <c r="C34" s="340"/>
      <c r="D34" s="340"/>
      <c r="E34" s="340"/>
      <c r="F34" s="340"/>
      <c r="G34" s="340"/>
      <c r="H34" s="340"/>
      <c r="I34" s="340"/>
      <c r="J34" s="340"/>
      <c r="K34" s="340"/>
      <c r="L34" s="340"/>
      <c r="M34" s="340"/>
      <c r="N34" s="340"/>
      <c r="O34" s="340"/>
      <c r="P34" s="340"/>
      <c r="Q34" s="340"/>
      <c r="R34" s="340"/>
      <c r="S34" s="340"/>
      <c r="T34" s="340"/>
      <c r="U34" s="340"/>
      <c r="V34" s="356"/>
      <c r="W34" s="353"/>
      <c r="X34" s="353"/>
      <c r="Y34" s="353"/>
      <c r="Z34" s="122"/>
      <c r="AA34" s="301"/>
    </row>
    <row r="35" spans="1:27" s="262" customFormat="1">
      <c r="A35" s="304" t="s">
        <v>143</v>
      </c>
      <c r="B35" s="340">
        <v>0</v>
      </c>
      <c r="C35" s="344">
        <v>1920006.91</v>
      </c>
      <c r="D35" s="340">
        <v>0</v>
      </c>
      <c r="E35" s="340">
        <v>0</v>
      </c>
      <c r="F35" s="340">
        <v>0</v>
      </c>
      <c r="G35" s="340">
        <v>0</v>
      </c>
      <c r="H35" s="340">
        <v>0</v>
      </c>
      <c r="I35" s="340">
        <v>0</v>
      </c>
      <c r="J35" s="340">
        <v>0</v>
      </c>
      <c r="K35" s="340">
        <v>0</v>
      </c>
      <c r="L35" s="344">
        <f>10502053.45+575657</f>
        <v>11077710.449999999</v>
      </c>
      <c r="M35" s="340">
        <v>0</v>
      </c>
      <c r="N35" s="340">
        <v>0</v>
      </c>
      <c r="O35" s="340">
        <v>0</v>
      </c>
      <c r="P35" s="340">
        <v>0</v>
      </c>
      <c r="Q35" s="340">
        <v>0</v>
      </c>
      <c r="R35" s="340">
        <v>0</v>
      </c>
      <c r="S35" s="340">
        <v>0</v>
      </c>
      <c r="T35" s="340">
        <v>0</v>
      </c>
      <c r="U35" s="340">
        <v>0</v>
      </c>
      <c r="V35" s="340">
        <v>0</v>
      </c>
      <c r="W35" s="122">
        <f>+B35+E35+H35+K35+N35+Q35+T35</f>
        <v>0</v>
      </c>
      <c r="X35" s="122">
        <f>+C35+F35+I35+L35+O35+R35+U35</f>
        <v>12997717.359999999</v>
      </c>
      <c r="Y35" s="122">
        <f>+D35+G35+J35+M35+P35+S35+V35</f>
        <v>0</v>
      </c>
      <c r="Z35" s="122">
        <f t="shared" ref="Z35:Z43" si="10">+W35+X35+Y35</f>
        <v>12997717.359999999</v>
      </c>
      <c r="AA35" s="301"/>
    </row>
    <row r="36" spans="1:27" s="262" customFormat="1">
      <c r="A36" s="304" t="s">
        <v>144</v>
      </c>
      <c r="B36" s="340">
        <v>0</v>
      </c>
      <c r="C36" s="344">
        <v>373080</v>
      </c>
      <c r="D36" s="340">
        <v>0</v>
      </c>
      <c r="E36" s="340">
        <v>0</v>
      </c>
      <c r="F36" s="340">
        <v>0</v>
      </c>
      <c r="G36" s="340">
        <v>0</v>
      </c>
      <c r="H36" s="340">
        <v>0</v>
      </c>
      <c r="I36" s="340">
        <v>0</v>
      </c>
      <c r="J36" s="340">
        <v>0</v>
      </c>
      <c r="K36" s="340">
        <v>0</v>
      </c>
      <c r="L36" s="344">
        <v>212241</v>
      </c>
      <c r="M36" s="340">
        <v>0</v>
      </c>
      <c r="N36" s="340">
        <v>0</v>
      </c>
      <c r="O36" s="340">
        <v>0</v>
      </c>
      <c r="P36" s="340">
        <v>0</v>
      </c>
      <c r="Q36" s="340">
        <v>0</v>
      </c>
      <c r="R36" s="340">
        <v>0</v>
      </c>
      <c r="S36" s="340">
        <v>0</v>
      </c>
      <c r="T36" s="340">
        <v>0</v>
      </c>
      <c r="U36" s="340">
        <v>0</v>
      </c>
      <c r="V36" s="340">
        <v>0</v>
      </c>
      <c r="W36" s="122">
        <f t="shared" ref="W36:W43" si="11">+B36+E36+H36+K36+N36+Q36+T36</f>
        <v>0</v>
      </c>
      <c r="X36" s="122">
        <f t="shared" ref="X36:X40" si="12">+C36+F36+I36+L36+O36+R36+U36</f>
        <v>585321</v>
      </c>
      <c r="Y36" s="122">
        <f t="shared" ref="Y36:Y42" si="13">+D36+G36+J36+M36+P36+S36+V36</f>
        <v>0</v>
      </c>
      <c r="Z36" s="122">
        <f t="shared" si="10"/>
        <v>585321</v>
      </c>
      <c r="AA36" s="301"/>
    </row>
    <row r="37" spans="1:27" s="262" customFormat="1">
      <c r="A37" s="304" t="s">
        <v>145</v>
      </c>
      <c r="B37" s="340">
        <v>0</v>
      </c>
      <c r="C37" s="344">
        <f>2019478.22+151946.12</f>
        <v>2171424.34</v>
      </c>
      <c r="D37" s="340">
        <v>0</v>
      </c>
      <c r="E37" s="340">
        <v>0</v>
      </c>
      <c r="F37" s="340">
        <v>0</v>
      </c>
      <c r="G37" s="340">
        <v>0</v>
      </c>
      <c r="H37" s="340">
        <v>0</v>
      </c>
      <c r="I37" s="340">
        <v>0</v>
      </c>
      <c r="J37" s="340">
        <v>0</v>
      </c>
      <c r="K37" s="340">
        <v>0</v>
      </c>
      <c r="L37" s="344">
        <v>1250408.49</v>
      </c>
      <c r="M37" s="340">
        <v>0</v>
      </c>
      <c r="N37" s="340">
        <v>0</v>
      </c>
      <c r="O37" s="340">
        <v>0</v>
      </c>
      <c r="P37" s="340">
        <v>0</v>
      </c>
      <c r="Q37" s="340">
        <v>0</v>
      </c>
      <c r="R37" s="340">
        <v>0</v>
      </c>
      <c r="S37" s="340">
        <v>0</v>
      </c>
      <c r="T37" s="340">
        <v>0</v>
      </c>
      <c r="U37" s="340">
        <v>0</v>
      </c>
      <c r="V37" s="340">
        <v>0</v>
      </c>
      <c r="W37" s="122">
        <f t="shared" si="11"/>
        <v>0</v>
      </c>
      <c r="X37" s="122">
        <f t="shared" si="12"/>
        <v>3421832.83</v>
      </c>
      <c r="Y37" s="122">
        <f t="shared" si="13"/>
        <v>0</v>
      </c>
      <c r="Z37" s="122">
        <f t="shared" si="10"/>
        <v>3421832.83</v>
      </c>
      <c r="AA37" s="301"/>
    </row>
    <row r="38" spans="1:27" s="262" customFormat="1">
      <c r="A38" s="304" t="s">
        <v>439</v>
      </c>
      <c r="B38" s="340">
        <v>0</v>
      </c>
      <c r="C38" s="344">
        <v>0</v>
      </c>
      <c r="D38" s="340">
        <v>0</v>
      </c>
      <c r="E38" s="340">
        <v>0</v>
      </c>
      <c r="F38" s="340">
        <v>0</v>
      </c>
      <c r="G38" s="340">
        <v>0</v>
      </c>
      <c r="H38" s="340">
        <v>0</v>
      </c>
      <c r="I38" s="340">
        <v>0</v>
      </c>
      <c r="J38" s="340">
        <v>0</v>
      </c>
      <c r="K38" s="340">
        <v>0</v>
      </c>
      <c r="L38" s="344">
        <v>391208</v>
      </c>
      <c r="M38" s="340">
        <v>0</v>
      </c>
      <c r="N38" s="340">
        <v>0</v>
      </c>
      <c r="O38" s="340">
        <v>0</v>
      </c>
      <c r="P38" s="340">
        <v>0</v>
      </c>
      <c r="Q38" s="340">
        <v>0</v>
      </c>
      <c r="R38" s="340">
        <v>0</v>
      </c>
      <c r="S38" s="340">
        <v>0</v>
      </c>
      <c r="T38" s="340">
        <v>0</v>
      </c>
      <c r="U38" s="340">
        <v>0</v>
      </c>
      <c r="V38" s="340">
        <v>0</v>
      </c>
      <c r="W38" s="122">
        <f t="shared" si="11"/>
        <v>0</v>
      </c>
      <c r="X38" s="122">
        <f t="shared" si="12"/>
        <v>391208</v>
      </c>
      <c r="Y38" s="122">
        <f t="shared" si="13"/>
        <v>0</v>
      </c>
      <c r="Z38" s="122">
        <f t="shared" si="10"/>
        <v>391208</v>
      </c>
      <c r="AA38" s="301"/>
    </row>
    <row r="39" spans="1:27" s="262" customFormat="1">
      <c r="A39" s="304" t="s">
        <v>146</v>
      </c>
      <c r="B39" s="340">
        <v>0</v>
      </c>
      <c r="C39" s="344">
        <v>718080</v>
      </c>
      <c r="D39" s="340">
        <v>0</v>
      </c>
      <c r="E39" s="340">
        <v>0</v>
      </c>
      <c r="F39" s="340">
        <v>0</v>
      </c>
      <c r="G39" s="340">
        <v>0</v>
      </c>
      <c r="H39" s="340">
        <v>0</v>
      </c>
      <c r="I39" s="340">
        <v>0</v>
      </c>
      <c r="J39" s="340">
        <v>0</v>
      </c>
      <c r="K39" s="340">
        <v>0</v>
      </c>
      <c r="L39" s="344">
        <v>3264035</v>
      </c>
      <c r="M39" s="340">
        <v>0</v>
      </c>
      <c r="N39" s="340">
        <v>0</v>
      </c>
      <c r="O39" s="340">
        <v>0</v>
      </c>
      <c r="P39" s="340">
        <v>0</v>
      </c>
      <c r="Q39" s="340">
        <v>0</v>
      </c>
      <c r="R39" s="340">
        <v>0</v>
      </c>
      <c r="S39" s="340">
        <v>0</v>
      </c>
      <c r="T39" s="340">
        <v>0</v>
      </c>
      <c r="U39" s="340">
        <v>0</v>
      </c>
      <c r="V39" s="340">
        <v>0</v>
      </c>
      <c r="W39" s="122">
        <f t="shared" si="11"/>
        <v>0</v>
      </c>
      <c r="X39" s="122">
        <f t="shared" si="12"/>
        <v>3982115</v>
      </c>
      <c r="Y39" s="122">
        <f t="shared" si="13"/>
        <v>0</v>
      </c>
      <c r="Z39" s="122">
        <f t="shared" si="10"/>
        <v>3982115</v>
      </c>
      <c r="AA39" s="301"/>
    </row>
    <row r="40" spans="1:27" s="262" customFormat="1">
      <c r="A40" s="304" t="s">
        <v>147</v>
      </c>
      <c r="B40" s="340">
        <v>0</v>
      </c>
      <c r="C40" s="344">
        <v>1232530.5</v>
      </c>
      <c r="D40" s="340">
        <v>0</v>
      </c>
      <c r="E40" s="340">
        <v>0</v>
      </c>
      <c r="F40" s="340">
        <v>0</v>
      </c>
      <c r="G40" s="340">
        <v>0</v>
      </c>
      <c r="H40" s="340">
        <v>0</v>
      </c>
      <c r="I40" s="340">
        <v>0</v>
      </c>
      <c r="J40" s="340">
        <v>0</v>
      </c>
      <c r="K40" s="340">
        <v>0</v>
      </c>
      <c r="L40" s="344">
        <v>1016725.42</v>
      </c>
      <c r="M40" s="340">
        <v>0</v>
      </c>
      <c r="N40" s="340">
        <v>0</v>
      </c>
      <c r="O40" s="340">
        <v>0</v>
      </c>
      <c r="P40" s="340">
        <v>0</v>
      </c>
      <c r="Q40" s="340">
        <v>0</v>
      </c>
      <c r="R40" s="340">
        <v>0</v>
      </c>
      <c r="S40" s="340">
        <v>0</v>
      </c>
      <c r="T40" s="340">
        <v>0</v>
      </c>
      <c r="U40" s="340">
        <v>0</v>
      </c>
      <c r="V40" s="340">
        <v>0</v>
      </c>
      <c r="W40" s="122">
        <f t="shared" si="11"/>
        <v>0</v>
      </c>
      <c r="X40" s="122">
        <f t="shared" si="12"/>
        <v>2249255.92</v>
      </c>
      <c r="Y40" s="122">
        <f t="shared" si="13"/>
        <v>0</v>
      </c>
      <c r="Z40" s="122">
        <f t="shared" si="10"/>
        <v>2249255.92</v>
      </c>
      <c r="AA40" s="301"/>
    </row>
    <row r="41" spans="1:27" s="262" customFormat="1">
      <c r="A41" s="304" t="s">
        <v>148</v>
      </c>
      <c r="B41" s="340">
        <v>0</v>
      </c>
      <c r="C41" s="344">
        <v>0</v>
      </c>
      <c r="D41" s="340">
        <v>0</v>
      </c>
      <c r="E41" s="340">
        <v>0</v>
      </c>
      <c r="F41" s="340">
        <v>0</v>
      </c>
      <c r="G41" s="340">
        <v>0</v>
      </c>
      <c r="H41" s="340">
        <v>0</v>
      </c>
      <c r="I41" s="340">
        <v>0</v>
      </c>
      <c r="J41" s="340">
        <v>0</v>
      </c>
      <c r="K41" s="340">
        <v>0</v>
      </c>
      <c r="L41" s="344">
        <v>1825445.43</v>
      </c>
      <c r="M41" s="344">
        <v>0</v>
      </c>
      <c r="N41" s="344">
        <v>0</v>
      </c>
      <c r="O41" s="344">
        <v>0</v>
      </c>
      <c r="P41" s="344">
        <v>0</v>
      </c>
      <c r="Q41" s="344">
        <v>0</v>
      </c>
      <c r="R41" s="344">
        <v>0</v>
      </c>
      <c r="S41" s="344">
        <v>0</v>
      </c>
      <c r="T41" s="344">
        <v>0</v>
      </c>
      <c r="U41" s="344">
        <v>0</v>
      </c>
      <c r="V41" s="344">
        <v>0</v>
      </c>
      <c r="W41" s="122">
        <f t="shared" si="11"/>
        <v>0</v>
      </c>
      <c r="X41" s="122">
        <f t="shared" ref="X41:X43" si="14">+C41+F41+I41+L41+O41+R41+U41</f>
        <v>1825445.43</v>
      </c>
      <c r="Y41" s="122">
        <f t="shared" si="13"/>
        <v>0</v>
      </c>
      <c r="Z41" s="122">
        <f t="shared" si="10"/>
        <v>1825445.43</v>
      </c>
      <c r="AA41" s="301"/>
    </row>
    <row r="42" spans="1:27" s="262" customFormat="1">
      <c r="A42" s="304" t="s">
        <v>149</v>
      </c>
      <c r="B42" s="340">
        <v>0</v>
      </c>
      <c r="C42" s="344">
        <v>0</v>
      </c>
      <c r="D42" s="340">
        <v>0</v>
      </c>
      <c r="E42" s="340">
        <v>0</v>
      </c>
      <c r="F42" s="340">
        <v>0</v>
      </c>
      <c r="G42" s="340">
        <v>0</v>
      </c>
      <c r="H42" s="340">
        <v>0</v>
      </c>
      <c r="I42" s="340">
        <v>0</v>
      </c>
      <c r="J42" s="340">
        <v>0</v>
      </c>
      <c r="K42" s="340">
        <v>0</v>
      </c>
      <c r="L42" s="344">
        <v>158400</v>
      </c>
      <c r="M42" s="344">
        <v>0</v>
      </c>
      <c r="N42" s="344">
        <v>0</v>
      </c>
      <c r="O42" s="344">
        <v>0</v>
      </c>
      <c r="P42" s="344">
        <v>0</v>
      </c>
      <c r="Q42" s="344">
        <v>0</v>
      </c>
      <c r="R42" s="344">
        <v>0</v>
      </c>
      <c r="S42" s="344">
        <v>0</v>
      </c>
      <c r="T42" s="344">
        <v>0</v>
      </c>
      <c r="U42" s="344">
        <v>0</v>
      </c>
      <c r="V42" s="344">
        <v>0</v>
      </c>
      <c r="W42" s="122">
        <f t="shared" si="11"/>
        <v>0</v>
      </c>
      <c r="X42" s="122">
        <f t="shared" si="14"/>
        <v>158400</v>
      </c>
      <c r="Y42" s="122">
        <f t="shared" si="13"/>
        <v>0</v>
      </c>
      <c r="Z42" s="122">
        <f t="shared" si="10"/>
        <v>158400</v>
      </c>
      <c r="AA42" s="301"/>
    </row>
    <row r="43" spans="1:27" s="252" customFormat="1" ht="21.75" thickBot="1">
      <c r="A43" s="349" t="s">
        <v>150</v>
      </c>
      <c r="B43" s="357">
        <v>0</v>
      </c>
      <c r="C43" s="358">
        <v>350885</v>
      </c>
      <c r="D43" s="357">
        <v>0</v>
      </c>
      <c r="E43" s="357">
        <v>0</v>
      </c>
      <c r="F43" s="339">
        <v>0</v>
      </c>
      <c r="G43" s="339">
        <v>0</v>
      </c>
      <c r="H43" s="339">
        <v>0</v>
      </c>
      <c r="I43" s="339">
        <v>0</v>
      </c>
      <c r="J43" s="339">
        <v>0</v>
      </c>
      <c r="K43" s="339">
        <v>0</v>
      </c>
      <c r="L43" s="358">
        <v>100678</v>
      </c>
      <c r="M43" s="358">
        <v>0</v>
      </c>
      <c r="N43" s="358">
        <v>0</v>
      </c>
      <c r="O43" s="358">
        <v>0</v>
      </c>
      <c r="P43" s="358">
        <v>0</v>
      </c>
      <c r="Q43" s="358">
        <v>0</v>
      </c>
      <c r="R43" s="358">
        <v>0</v>
      </c>
      <c r="S43" s="358">
        <v>0</v>
      </c>
      <c r="T43" s="358">
        <v>0</v>
      </c>
      <c r="U43" s="358">
        <v>0</v>
      </c>
      <c r="V43" s="358">
        <v>0</v>
      </c>
      <c r="W43" s="123">
        <f t="shared" si="11"/>
        <v>0</v>
      </c>
      <c r="X43" s="123">
        <f t="shared" si="14"/>
        <v>451563</v>
      </c>
      <c r="Y43" s="123">
        <f t="shared" ref="Y43" si="15">+D43+G43+J43+M43+P43+S43+V43</f>
        <v>0</v>
      </c>
      <c r="Z43" s="123">
        <f t="shared" si="10"/>
        <v>451563</v>
      </c>
      <c r="AA43" s="136"/>
    </row>
    <row r="44" spans="1:27" s="262" customFormat="1" ht="22.5" thickTop="1" thickBot="1">
      <c r="A44" s="309" t="s">
        <v>8</v>
      </c>
      <c r="B44" s="355">
        <f>SUM(B35:B43)</f>
        <v>0</v>
      </c>
      <c r="C44" s="355">
        <f t="shared" ref="C44:Z44" si="16">SUM(C35:C43)</f>
        <v>6766006.75</v>
      </c>
      <c r="D44" s="355">
        <f t="shared" si="16"/>
        <v>0</v>
      </c>
      <c r="E44" s="355">
        <f t="shared" si="16"/>
        <v>0</v>
      </c>
      <c r="F44" s="355">
        <f t="shared" si="16"/>
        <v>0</v>
      </c>
      <c r="G44" s="355">
        <f t="shared" si="16"/>
        <v>0</v>
      </c>
      <c r="H44" s="355">
        <f t="shared" si="16"/>
        <v>0</v>
      </c>
      <c r="I44" s="355">
        <f t="shared" si="16"/>
        <v>0</v>
      </c>
      <c r="J44" s="355">
        <f t="shared" si="16"/>
        <v>0</v>
      </c>
      <c r="K44" s="355">
        <f t="shared" si="16"/>
        <v>0</v>
      </c>
      <c r="L44" s="355">
        <f t="shared" si="16"/>
        <v>19296851.789999999</v>
      </c>
      <c r="M44" s="355">
        <f t="shared" si="16"/>
        <v>0</v>
      </c>
      <c r="N44" s="355">
        <f t="shared" si="16"/>
        <v>0</v>
      </c>
      <c r="O44" s="355">
        <f t="shared" si="16"/>
        <v>0</v>
      </c>
      <c r="P44" s="355">
        <f t="shared" si="16"/>
        <v>0</v>
      </c>
      <c r="Q44" s="355">
        <f t="shared" si="16"/>
        <v>0</v>
      </c>
      <c r="R44" s="355">
        <f t="shared" si="16"/>
        <v>0</v>
      </c>
      <c r="S44" s="355">
        <f t="shared" si="16"/>
        <v>0</v>
      </c>
      <c r="T44" s="355">
        <f t="shared" si="16"/>
        <v>0</v>
      </c>
      <c r="U44" s="355">
        <f t="shared" si="16"/>
        <v>0</v>
      </c>
      <c r="V44" s="355">
        <f t="shared" si="16"/>
        <v>0</v>
      </c>
      <c r="W44" s="355">
        <f t="shared" si="16"/>
        <v>0</v>
      </c>
      <c r="X44" s="355">
        <f t="shared" si="16"/>
        <v>26062858.539999999</v>
      </c>
      <c r="Y44" s="355">
        <f t="shared" si="16"/>
        <v>0</v>
      </c>
      <c r="Z44" s="355">
        <f t="shared" si="16"/>
        <v>26062858.539999999</v>
      </c>
      <c r="AA44" s="301"/>
    </row>
    <row r="45" spans="1:27" s="262" customFormat="1" ht="22.5" thickTop="1" thickBot="1">
      <c r="A45" s="309" t="s">
        <v>182</v>
      </c>
      <c r="B45" s="355">
        <f>+B33+B44</f>
        <v>237887185.51000002</v>
      </c>
      <c r="C45" s="355">
        <f t="shared" ref="C45:Z45" si="17">+C33+C44</f>
        <v>71571449.170000002</v>
      </c>
      <c r="D45" s="355">
        <f t="shared" si="17"/>
        <v>9963717.0500000007</v>
      </c>
      <c r="E45" s="355">
        <f t="shared" si="17"/>
        <v>6823210.1099999994</v>
      </c>
      <c r="F45" s="355">
        <f t="shared" si="17"/>
        <v>16576</v>
      </c>
      <c r="G45" s="355">
        <f t="shared" si="17"/>
        <v>0</v>
      </c>
      <c r="H45" s="355">
        <f t="shared" si="17"/>
        <v>9230910.6999999993</v>
      </c>
      <c r="I45" s="355">
        <f t="shared" si="17"/>
        <v>6310452.3099999996</v>
      </c>
      <c r="J45" s="355">
        <f t="shared" si="17"/>
        <v>0</v>
      </c>
      <c r="K45" s="355">
        <f t="shared" si="17"/>
        <v>154247844.19</v>
      </c>
      <c r="L45" s="355">
        <f t="shared" si="17"/>
        <v>85936933.960000008</v>
      </c>
      <c r="M45" s="355">
        <f t="shared" si="17"/>
        <v>0</v>
      </c>
      <c r="N45" s="355">
        <f t="shared" si="17"/>
        <v>212856929.66000003</v>
      </c>
      <c r="O45" s="355">
        <f t="shared" si="17"/>
        <v>33519877.390000001</v>
      </c>
      <c r="P45" s="355">
        <f t="shared" si="17"/>
        <v>0</v>
      </c>
      <c r="Q45" s="355">
        <f t="shared" si="17"/>
        <v>345204053.27999997</v>
      </c>
      <c r="R45" s="355">
        <f t="shared" si="17"/>
        <v>10028222.08</v>
      </c>
      <c r="S45" s="355">
        <f t="shared" si="17"/>
        <v>0</v>
      </c>
      <c r="T45" s="355">
        <f t="shared" si="17"/>
        <v>115778719.16</v>
      </c>
      <c r="U45" s="355">
        <f t="shared" si="17"/>
        <v>17131771.300000001</v>
      </c>
      <c r="V45" s="355">
        <f t="shared" si="17"/>
        <v>0</v>
      </c>
      <c r="W45" s="355">
        <f t="shared" si="17"/>
        <v>1082028852.6100001</v>
      </c>
      <c r="X45" s="355">
        <f t="shared" si="17"/>
        <v>224515282.21000001</v>
      </c>
      <c r="Y45" s="355">
        <f t="shared" si="17"/>
        <v>9963717.0500000007</v>
      </c>
      <c r="Z45" s="355">
        <f t="shared" si="17"/>
        <v>1316507851.8699999</v>
      </c>
      <c r="AA45" s="301"/>
    </row>
    <row r="46" spans="1:27" s="262" customFormat="1" ht="21.75" thickTop="1">
      <c r="A46" s="310"/>
      <c r="B46" s="359"/>
      <c r="C46" s="359"/>
      <c r="D46" s="359"/>
      <c r="E46" s="359"/>
      <c r="F46" s="359"/>
      <c r="G46" s="359"/>
      <c r="H46" s="359"/>
      <c r="I46" s="359"/>
      <c r="J46" s="359"/>
      <c r="K46" s="359"/>
      <c r="L46" s="359"/>
      <c r="M46" s="359"/>
      <c r="N46" s="359"/>
      <c r="O46" s="359"/>
      <c r="P46" s="359"/>
      <c r="Q46" s="359"/>
      <c r="R46" s="359"/>
      <c r="S46" s="359"/>
      <c r="T46" s="359"/>
      <c r="U46" s="359"/>
      <c r="V46" s="359"/>
      <c r="W46" s="359"/>
      <c r="X46" s="359"/>
      <c r="Y46" s="359"/>
      <c r="Z46" s="78"/>
      <c r="AA46" s="301"/>
    </row>
    <row r="47" spans="1:27" s="262" customFormat="1">
      <c r="A47" s="301"/>
      <c r="F47" s="359"/>
      <c r="G47" s="359"/>
      <c r="H47" s="359"/>
      <c r="I47" s="359"/>
      <c r="J47" s="359"/>
      <c r="K47" s="359"/>
      <c r="L47" s="359"/>
      <c r="M47" s="359"/>
      <c r="N47" s="359"/>
      <c r="O47" s="359"/>
      <c r="P47" s="359"/>
      <c r="Q47" s="359"/>
      <c r="R47" s="359"/>
      <c r="S47" s="359"/>
      <c r="T47" s="359"/>
      <c r="U47" s="359"/>
      <c r="V47" s="359"/>
      <c r="W47" s="359"/>
      <c r="X47" s="359"/>
      <c r="Y47" s="359"/>
      <c r="Z47" s="78"/>
      <c r="AA47" s="301"/>
    </row>
    <row r="48" spans="1:27" s="262" customFormat="1">
      <c r="A48" s="301"/>
      <c r="B48" s="360"/>
      <c r="I48" s="359"/>
      <c r="J48" s="359"/>
      <c r="K48" s="359"/>
      <c r="L48" s="359"/>
      <c r="M48" s="359"/>
      <c r="N48" s="359"/>
      <c r="O48" s="359"/>
      <c r="P48" s="359"/>
      <c r="Q48" s="359"/>
      <c r="R48" s="359"/>
      <c r="S48" s="359"/>
      <c r="T48" s="359"/>
      <c r="U48" s="359"/>
      <c r="V48" s="359"/>
      <c r="W48" s="359"/>
      <c r="X48" s="359"/>
      <c r="Y48" s="359"/>
      <c r="Z48" s="78"/>
      <c r="AA48" s="301"/>
    </row>
    <row r="49" spans="1:27" s="262" customFormat="1">
      <c r="A49" s="311"/>
      <c r="B49" s="361"/>
      <c r="C49" s="361"/>
      <c r="D49" s="359"/>
      <c r="E49" s="359"/>
      <c r="F49" s="359"/>
      <c r="G49" s="359"/>
      <c r="H49" s="359"/>
      <c r="I49" s="359"/>
      <c r="J49" s="359"/>
      <c r="K49" s="359"/>
      <c r="L49" s="359"/>
      <c r="M49" s="359"/>
      <c r="N49" s="359"/>
      <c r="O49" s="359"/>
      <c r="P49" s="359"/>
      <c r="Q49" s="359"/>
      <c r="R49" s="359"/>
      <c r="S49" s="359"/>
      <c r="T49" s="359"/>
      <c r="U49" s="359"/>
      <c r="V49" s="359"/>
      <c r="W49" s="359"/>
      <c r="X49" s="359"/>
      <c r="Y49" s="359"/>
      <c r="Z49" s="78"/>
      <c r="AA49" s="301"/>
    </row>
    <row r="50" spans="1:27" s="262" customFormat="1">
      <c r="A50" s="311"/>
      <c r="B50" s="343"/>
      <c r="C50" s="343"/>
      <c r="D50" s="343"/>
      <c r="E50" s="343"/>
      <c r="F50" s="343"/>
      <c r="G50" s="343"/>
      <c r="H50" s="343"/>
      <c r="I50" s="343"/>
      <c r="J50" s="265"/>
      <c r="K50" s="265"/>
      <c r="L50" s="265"/>
      <c r="M50" s="265"/>
      <c r="N50" s="265"/>
      <c r="O50" s="265"/>
      <c r="P50" s="265"/>
      <c r="Q50" s="265"/>
      <c r="R50" s="265"/>
      <c r="S50" s="265"/>
      <c r="T50" s="265"/>
      <c r="U50" s="265"/>
      <c r="V50" s="265"/>
      <c r="W50" s="78"/>
      <c r="X50" s="78"/>
      <c r="Y50" s="78"/>
      <c r="Z50" s="78"/>
      <c r="AA50" s="301"/>
    </row>
    <row r="51" spans="1:27" s="313" customFormat="1" ht="31.5" customHeight="1">
      <c r="A51" s="592"/>
      <c r="B51" s="592"/>
      <c r="C51" s="592"/>
      <c r="D51" s="592"/>
      <c r="E51" s="592"/>
      <c r="F51" s="592"/>
      <c r="G51" s="592"/>
      <c r="H51" s="592"/>
      <c r="I51" s="592"/>
      <c r="J51" s="592"/>
      <c r="K51" s="592"/>
      <c r="L51" s="592"/>
      <c r="M51" s="592"/>
      <c r="N51" s="592"/>
      <c r="O51" s="592"/>
      <c r="P51" s="592"/>
      <c r="Q51" s="592"/>
      <c r="R51" s="592"/>
      <c r="S51" s="592"/>
      <c r="T51" s="592"/>
      <c r="U51" s="592"/>
      <c r="V51" s="592"/>
      <c r="W51" s="592"/>
      <c r="X51" s="592"/>
      <c r="Y51" s="592"/>
      <c r="Z51" s="592"/>
      <c r="AA51" s="301"/>
    </row>
    <row r="52" spans="1:27" s="315" customFormat="1" ht="31.5" customHeight="1">
      <c r="A52" s="628"/>
      <c r="B52" s="628"/>
      <c r="C52" s="628"/>
      <c r="D52" s="628"/>
      <c r="E52" s="628"/>
      <c r="F52" s="628"/>
      <c r="G52" s="628"/>
      <c r="H52" s="628"/>
      <c r="I52" s="628"/>
      <c r="J52" s="628"/>
      <c r="K52" s="628"/>
      <c r="L52" s="628"/>
      <c r="M52" s="628"/>
      <c r="N52" s="628"/>
      <c r="O52" s="628"/>
      <c r="P52" s="628"/>
      <c r="Q52" s="628"/>
      <c r="R52" s="628"/>
      <c r="S52" s="628"/>
      <c r="T52" s="628"/>
      <c r="U52" s="628"/>
      <c r="V52" s="628"/>
      <c r="W52" s="628"/>
      <c r="X52" s="628"/>
      <c r="Y52" s="628"/>
      <c r="Z52" s="628"/>
      <c r="AA52" s="314"/>
    </row>
    <row r="53" spans="1:27" s="316" customFormat="1" ht="31.5" customHeight="1">
      <c r="A53" s="627"/>
      <c r="B53" s="592"/>
      <c r="C53" s="592"/>
      <c r="D53" s="592"/>
      <c r="E53" s="592"/>
      <c r="F53" s="592"/>
      <c r="G53" s="592"/>
      <c r="H53" s="592"/>
      <c r="I53" s="592"/>
      <c r="J53" s="592"/>
      <c r="K53" s="592"/>
      <c r="L53" s="592"/>
      <c r="M53" s="592"/>
      <c r="N53" s="592"/>
      <c r="O53" s="592"/>
      <c r="P53" s="592"/>
      <c r="Q53" s="592"/>
      <c r="R53" s="592"/>
      <c r="S53" s="592"/>
      <c r="T53" s="592"/>
      <c r="U53" s="592"/>
      <c r="V53" s="592"/>
      <c r="W53" s="592"/>
      <c r="X53" s="592"/>
      <c r="Y53" s="592"/>
      <c r="Z53" s="592"/>
      <c r="AA53" s="61"/>
    </row>
    <row r="54" spans="1:27" s="316" customFormat="1" ht="31.5" customHeight="1">
      <c r="A54" s="627"/>
      <c r="B54" s="629"/>
      <c r="C54" s="629"/>
      <c r="D54" s="629"/>
      <c r="E54" s="629"/>
      <c r="F54" s="629"/>
      <c r="G54" s="629"/>
      <c r="H54" s="629"/>
      <c r="I54" s="629"/>
      <c r="J54" s="629"/>
      <c r="K54" s="629"/>
      <c r="L54" s="629"/>
      <c r="M54" s="629"/>
      <c r="N54" s="629"/>
      <c r="O54" s="629"/>
      <c r="P54" s="629"/>
      <c r="Q54" s="629"/>
      <c r="R54" s="629"/>
      <c r="S54" s="629"/>
      <c r="T54" s="629"/>
      <c r="U54" s="629"/>
      <c r="V54" s="629"/>
      <c r="W54" s="629"/>
      <c r="X54" s="629"/>
      <c r="Y54" s="629"/>
      <c r="Z54" s="629"/>
      <c r="AA54" s="61"/>
    </row>
    <row r="55" spans="1:27" s="316" customFormat="1" ht="31.5" customHeight="1">
      <c r="A55" s="592"/>
      <c r="B55" s="592"/>
      <c r="C55" s="592"/>
      <c r="D55" s="592"/>
      <c r="E55" s="343"/>
      <c r="F55" s="343"/>
      <c r="G55" s="343"/>
      <c r="H55" s="343"/>
      <c r="I55" s="343"/>
      <c r="J55" s="343"/>
      <c r="K55" s="343"/>
      <c r="L55" s="265"/>
      <c r="M55" s="265"/>
      <c r="N55" s="265"/>
      <c r="O55" s="265"/>
      <c r="P55" s="265"/>
      <c r="Q55" s="265"/>
      <c r="R55" s="265"/>
      <c r="S55" s="265"/>
      <c r="T55" s="265"/>
      <c r="U55" s="265"/>
      <c r="V55" s="265"/>
      <c r="W55" s="78"/>
      <c r="X55" s="78"/>
      <c r="Y55" s="78"/>
      <c r="Z55" s="78"/>
      <c r="AA55" s="61"/>
    </row>
    <row r="56" spans="1:27" s="316" customFormat="1" ht="31.5" customHeight="1">
      <c r="A56" s="592"/>
      <c r="B56" s="592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2"/>
      <c r="P56" s="592"/>
      <c r="Q56" s="592"/>
      <c r="R56" s="592"/>
      <c r="S56" s="592"/>
      <c r="T56" s="592"/>
      <c r="U56" s="592"/>
      <c r="V56" s="592"/>
      <c r="W56" s="592"/>
      <c r="X56" s="592"/>
      <c r="Y56" s="592"/>
      <c r="Z56" s="592"/>
      <c r="AA56" s="61"/>
    </row>
    <row r="57" spans="1:27">
      <c r="A57" s="312"/>
      <c r="B57" s="343"/>
      <c r="C57" s="343"/>
      <c r="D57" s="343"/>
      <c r="E57" s="343"/>
      <c r="F57" s="343"/>
      <c r="G57" s="343"/>
      <c r="H57" s="343"/>
      <c r="I57" s="343"/>
      <c r="J57" s="265"/>
      <c r="K57" s="265"/>
      <c r="L57" s="265"/>
      <c r="M57" s="265"/>
      <c r="N57" s="265"/>
      <c r="O57" s="265"/>
      <c r="P57" s="265"/>
      <c r="Q57" s="265"/>
      <c r="R57" s="265"/>
      <c r="S57" s="265"/>
      <c r="T57" s="265"/>
      <c r="U57" s="265"/>
      <c r="V57" s="265"/>
      <c r="W57" s="78"/>
      <c r="X57" s="78"/>
      <c r="Y57" s="78"/>
      <c r="Z57" s="78"/>
    </row>
    <row r="58" spans="1:27">
      <c r="A58" s="312"/>
      <c r="B58" s="343"/>
      <c r="C58" s="343"/>
      <c r="D58" s="343"/>
      <c r="E58" s="343"/>
      <c r="F58" s="343"/>
      <c r="G58" s="343"/>
      <c r="H58" s="343"/>
      <c r="I58" s="343"/>
      <c r="J58" s="265"/>
      <c r="K58" s="265"/>
      <c r="L58" s="265"/>
      <c r="M58" s="265"/>
      <c r="N58" s="265"/>
      <c r="O58" s="265"/>
      <c r="P58" s="265"/>
      <c r="Q58" s="265"/>
      <c r="R58" s="265"/>
      <c r="S58" s="265"/>
      <c r="T58" s="265"/>
      <c r="U58" s="265"/>
      <c r="V58" s="265"/>
      <c r="W58" s="78"/>
      <c r="X58" s="78"/>
      <c r="Y58" s="78"/>
      <c r="Z58" s="78"/>
    </row>
    <row r="59" spans="1:27">
      <c r="A59" s="312"/>
      <c r="B59" s="343"/>
      <c r="C59" s="343"/>
      <c r="D59" s="343"/>
      <c r="E59" s="343"/>
      <c r="F59" s="343"/>
      <c r="G59" s="343"/>
      <c r="H59" s="343"/>
      <c r="I59" s="343"/>
      <c r="J59" s="265"/>
      <c r="K59" s="265"/>
      <c r="L59" s="265"/>
      <c r="M59" s="265"/>
      <c r="N59" s="265"/>
      <c r="O59" s="265"/>
      <c r="P59" s="265"/>
      <c r="Q59" s="265"/>
      <c r="R59" s="265"/>
      <c r="S59" s="265"/>
      <c r="T59" s="265"/>
      <c r="U59" s="265"/>
      <c r="V59" s="265"/>
      <c r="W59" s="78"/>
      <c r="X59" s="78"/>
      <c r="Y59" s="78"/>
      <c r="Z59" s="78"/>
    </row>
    <row r="60" spans="1:27">
      <c r="A60" s="312"/>
      <c r="B60" s="343"/>
      <c r="C60" s="343"/>
      <c r="D60" s="343"/>
      <c r="E60" s="343"/>
      <c r="F60" s="343"/>
      <c r="G60" s="343"/>
      <c r="H60" s="343"/>
      <c r="I60" s="343"/>
      <c r="J60" s="265"/>
      <c r="K60" s="265"/>
      <c r="L60" s="265"/>
      <c r="M60" s="265"/>
      <c r="N60" s="265"/>
      <c r="O60" s="265"/>
      <c r="P60" s="265"/>
      <c r="Q60" s="265"/>
      <c r="R60" s="265"/>
      <c r="S60" s="265"/>
      <c r="T60" s="265"/>
      <c r="U60" s="265"/>
      <c r="V60" s="265"/>
      <c r="W60" s="78"/>
      <c r="X60" s="78"/>
      <c r="Y60" s="78"/>
      <c r="Z60" s="78"/>
    </row>
    <row r="61" spans="1:27">
      <c r="A61" s="312"/>
      <c r="B61" s="265"/>
      <c r="C61" s="265"/>
      <c r="D61" s="265"/>
      <c r="E61" s="265"/>
      <c r="F61" s="265"/>
      <c r="G61" s="265"/>
      <c r="H61" s="265"/>
      <c r="I61" s="265"/>
      <c r="J61" s="265"/>
      <c r="K61" s="343"/>
      <c r="L61" s="343"/>
      <c r="M61" s="343"/>
      <c r="N61" s="343"/>
      <c r="O61" s="265"/>
      <c r="P61" s="265"/>
      <c r="Q61" s="265"/>
      <c r="R61" s="265"/>
      <c r="S61" s="265"/>
      <c r="T61" s="265"/>
      <c r="U61" s="265"/>
      <c r="V61" s="265"/>
      <c r="W61" s="78"/>
      <c r="X61" s="78"/>
      <c r="Y61" s="78"/>
      <c r="Z61" s="78"/>
    </row>
    <row r="62" spans="1:27">
      <c r="A62" s="310"/>
      <c r="B62" s="265"/>
      <c r="C62" s="265"/>
      <c r="D62" s="265"/>
      <c r="E62" s="265"/>
      <c r="F62" s="265"/>
      <c r="G62" s="265"/>
      <c r="H62" s="265"/>
      <c r="I62" s="265"/>
      <c r="J62" s="265"/>
      <c r="K62" s="265"/>
      <c r="L62" s="265"/>
      <c r="M62" s="265"/>
      <c r="N62" s="265"/>
      <c r="O62" s="265"/>
      <c r="P62" s="265"/>
      <c r="Q62" s="265"/>
      <c r="R62" s="265"/>
      <c r="S62" s="265"/>
      <c r="T62" s="265"/>
      <c r="U62" s="265"/>
      <c r="V62" s="265"/>
      <c r="W62" s="78"/>
      <c r="X62" s="78"/>
      <c r="Y62" s="78"/>
      <c r="Z62" s="78"/>
    </row>
    <row r="63" spans="1:27" s="317" customFormat="1" ht="23.25">
      <c r="B63" s="359"/>
      <c r="C63" s="359"/>
      <c r="D63" s="359"/>
      <c r="E63" s="359"/>
      <c r="F63" s="359"/>
      <c r="G63" s="359"/>
      <c r="H63" s="359"/>
      <c r="I63" s="359"/>
      <c r="J63" s="359"/>
      <c r="K63" s="359"/>
      <c r="L63" s="359"/>
      <c r="M63" s="359"/>
      <c r="N63" s="359"/>
      <c r="O63" s="359"/>
      <c r="P63" s="359"/>
      <c r="Q63" s="359"/>
      <c r="R63" s="359"/>
      <c r="S63" s="359"/>
      <c r="T63" s="359"/>
      <c r="U63" s="359"/>
      <c r="V63" s="359"/>
      <c r="W63" s="262"/>
      <c r="X63" s="262"/>
      <c r="Y63" s="262"/>
      <c r="Z63" s="262"/>
      <c r="AA63" s="301"/>
    </row>
    <row r="64" spans="1:27" s="317" customFormat="1" ht="23.25">
      <c r="B64" s="362"/>
      <c r="C64" s="362"/>
      <c r="D64" s="362"/>
      <c r="E64" s="362"/>
      <c r="F64" s="362"/>
      <c r="G64" s="362"/>
      <c r="H64" s="362"/>
      <c r="I64" s="362"/>
      <c r="J64" s="362"/>
      <c r="K64" s="362"/>
      <c r="L64" s="362"/>
      <c r="M64" s="362"/>
      <c r="N64" s="362"/>
      <c r="O64" s="362"/>
      <c r="P64" s="362"/>
      <c r="Q64" s="362"/>
      <c r="R64" s="362"/>
      <c r="S64" s="362"/>
      <c r="T64" s="362"/>
      <c r="U64" s="362"/>
      <c r="V64" s="362"/>
      <c r="W64" s="256"/>
      <c r="X64" s="256"/>
      <c r="Y64" s="256"/>
      <c r="Z64" s="256"/>
      <c r="AA64" s="301"/>
    </row>
    <row r="65" spans="1:27" s="317" customFormat="1" ht="23.25">
      <c r="B65" s="362"/>
      <c r="C65" s="362"/>
      <c r="D65" s="362"/>
      <c r="E65" s="362"/>
      <c r="F65" s="362"/>
      <c r="G65" s="362"/>
      <c r="H65" s="362"/>
      <c r="I65" s="362"/>
      <c r="J65" s="362"/>
      <c r="K65" s="362"/>
      <c r="L65" s="362"/>
      <c r="M65" s="362"/>
      <c r="N65" s="362"/>
      <c r="O65" s="362"/>
      <c r="P65" s="362"/>
      <c r="Q65" s="362"/>
      <c r="R65" s="362"/>
      <c r="S65" s="362"/>
      <c r="T65" s="362"/>
      <c r="U65" s="362"/>
      <c r="V65" s="362"/>
      <c r="W65" s="256"/>
      <c r="X65" s="256"/>
      <c r="Y65" s="256"/>
      <c r="Z65" s="256"/>
      <c r="AA65" s="301"/>
    </row>
    <row r="66" spans="1:27" s="317" customFormat="1" ht="23.25">
      <c r="B66" s="362"/>
      <c r="C66" s="362"/>
      <c r="D66" s="362"/>
      <c r="E66" s="362"/>
      <c r="F66" s="362"/>
      <c r="G66" s="362"/>
      <c r="H66" s="362"/>
      <c r="I66" s="362"/>
      <c r="J66" s="362"/>
      <c r="K66" s="362"/>
      <c r="L66" s="362"/>
      <c r="M66" s="362"/>
      <c r="N66" s="362"/>
      <c r="O66" s="362"/>
      <c r="P66" s="362"/>
      <c r="Q66" s="362"/>
      <c r="R66" s="362"/>
      <c r="S66" s="362"/>
      <c r="T66" s="362"/>
      <c r="U66" s="362"/>
      <c r="V66" s="362"/>
      <c r="W66" s="256"/>
      <c r="X66" s="256"/>
      <c r="Y66" s="256"/>
      <c r="Z66" s="256"/>
      <c r="AA66" s="301"/>
    </row>
    <row r="67" spans="1:27" s="317" customFormat="1" ht="23.25">
      <c r="B67" s="362"/>
      <c r="C67" s="362"/>
      <c r="D67" s="362"/>
      <c r="E67" s="362"/>
      <c r="F67" s="362"/>
      <c r="G67" s="362"/>
      <c r="H67" s="362"/>
      <c r="I67" s="362"/>
      <c r="J67" s="362"/>
      <c r="K67" s="362"/>
      <c r="L67" s="362"/>
      <c r="M67" s="362"/>
      <c r="N67" s="362"/>
      <c r="O67" s="362"/>
      <c r="P67" s="362"/>
      <c r="Q67" s="362"/>
      <c r="R67" s="362"/>
      <c r="S67" s="362"/>
      <c r="T67" s="362"/>
      <c r="U67" s="362"/>
      <c r="V67" s="362"/>
      <c r="W67" s="256"/>
      <c r="X67" s="256"/>
      <c r="Y67" s="256"/>
      <c r="Z67" s="256"/>
      <c r="AA67" s="301"/>
    </row>
    <row r="68" spans="1:27" s="320" customFormat="1" ht="26.25">
      <c r="A68" s="318"/>
      <c r="B68" s="363"/>
      <c r="C68" s="363"/>
      <c r="D68" s="363"/>
      <c r="E68" s="363"/>
      <c r="F68" s="363"/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63"/>
      <c r="R68" s="363"/>
      <c r="S68" s="363"/>
      <c r="T68" s="363"/>
      <c r="U68" s="363"/>
      <c r="V68" s="363"/>
      <c r="W68" s="364"/>
      <c r="X68" s="364"/>
      <c r="Y68" s="364"/>
      <c r="Z68" s="364"/>
      <c r="AA68" s="319"/>
    </row>
    <row r="69" spans="1:27" ht="29.25" customHeight="1">
      <c r="A69" s="317"/>
    </row>
  </sheetData>
  <mergeCells count="19">
    <mergeCell ref="Q4:S4"/>
    <mergeCell ref="T4:V4"/>
    <mergeCell ref="A1:Z1"/>
    <mergeCell ref="A2:Z2"/>
    <mergeCell ref="P3:Z3"/>
    <mergeCell ref="A4:A5"/>
    <mergeCell ref="B4:D4"/>
    <mergeCell ref="E4:G4"/>
    <mergeCell ref="H4:J4"/>
    <mergeCell ref="K4:M4"/>
    <mergeCell ref="N4:P4"/>
    <mergeCell ref="W4:Y4"/>
    <mergeCell ref="Z4:Z5"/>
    <mergeCell ref="A56:Z56"/>
    <mergeCell ref="A53:Z53"/>
    <mergeCell ref="A51:Z51"/>
    <mergeCell ref="A52:Z52"/>
    <mergeCell ref="A54:Z54"/>
    <mergeCell ref="A55:D55"/>
  </mergeCells>
  <phoneticPr fontId="3" type="noConversion"/>
  <printOptions horizontalCentered="1" verticalCentered="1"/>
  <pageMargins left="0.17" right="0.15748031496062992" top="0.62992125984251968" bottom="0.39370078740157483" header="0.39370078740157483" footer="0.51181102362204722"/>
  <pageSetup paperSize="9" scale="40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AG496"/>
  <sheetViews>
    <sheetView topLeftCell="A198" zoomScale="70" zoomScaleNormal="70" workbookViewId="0">
      <selection activeCell="T13" sqref="T13"/>
    </sheetView>
  </sheetViews>
  <sheetFormatPr defaultRowHeight="21"/>
  <cols>
    <col min="1" max="1" width="5.85546875" style="389" customWidth="1"/>
    <col min="2" max="2" width="48" style="380" customWidth="1"/>
    <col min="3" max="4" width="16.7109375" style="36" bestFit="1" customWidth="1"/>
    <col min="5" max="5" width="14.28515625" style="41" bestFit="1" customWidth="1"/>
    <col min="6" max="6" width="16.7109375" style="36" bestFit="1" customWidth="1"/>
    <col min="7" max="7" width="16.7109375" style="37" bestFit="1" customWidth="1"/>
    <col min="8" max="8" width="15.42578125" style="54" customWidth="1"/>
    <col min="9" max="9" width="15.42578125" style="36" customWidth="1"/>
    <col min="10" max="10" width="8.5703125" style="36" customWidth="1"/>
    <col min="11" max="11" width="15.42578125" style="36" customWidth="1"/>
    <col min="12" max="12" width="15.42578125" style="27" customWidth="1"/>
    <col min="13" max="13" width="14.28515625" style="27" customWidth="1"/>
    <col min="14" max="14" width="9.5703125" style="27" customWidth="1"/>
    <col min="15" max="15" width="13.42578125" style="27" customWidth="1"/>
    <col min="16" max="16" width="15.42578125" style="29" customWidth="1"/>
    <col min="17" max="17" width="20.7109375" style="400" customWidth="1"/>
    <col min="18" max="19" width="16.7109375" style="36" customWidth="1"/>
    <col min="20" max="20" width="15.42578125" style="36" customWidth="1"/>
    <col min="21" max="21" width="16.7109375" style="36" customWidth="1"/>
    <col min="22" max="22" width="18.28515625" style="37" customWidth="1"/>
    <col min="23" max="23" width="16.7109375" style="36" customWidth="1"/>
    <col min="24" max="24" width="15.42578125" style="36" customWidth="1"/>
    <col min="25" max="25" width="14.28515625" style="36" customWidth="1"/>
    <col min="26" max="26" width="15.42578125" style="36" customWidth="1"/>
    <col min="27" max="27" width="16.7109375" style="37" customWidth="1"/>
    <col min="28" max="29" width="16.7109375" style="36" bestFit="1" customWidth="1"/>
    <col min="30" max="30" width="14.28515625" style="36" bestFit="1" customWidth="1"/>
    <col min="31" max="31" width="16.7109375" style="36" bestFit="1" customWidth="1"/>
    <col min="32" max="32" width="16.42578125" style="36" customWidth="1"/>
    <col min="33" max="33" width="18.140625" style="36" bestFit="1" customWidth="1"/>
    <col min="34" max="16384" width="9.140625" style="36"/>
  </cols>
  <sheetData>
    <row r="1" spans="1:32" ht="23.25" customHeight="1">
      <c r="B1" s="634" t="s">
        <v>434</v>
      </c>
      <c r="C1" s="634"/>
      <c r="D1" s="634"/>
      <c r="E1" s="634"/>
      <c r="F1" s="634"/>
      <c r="G1" s="634"/>
      <c r="H1" s="34"/>
      <c r="I1" s="35"/>
      <c r="J1" s="35"/>
      <c r="K1" s="35"/>
    </row>
    <row r="2" spans="1:32" ht="23.25" customHeight="1">
      <c r="B2" s="634" t="s">
        <v>38</v>
      </c>
      <c r="C2" s="634"/>
      <c r="D2" s="634"/>
      <c r="E2" s="634"/>
      <c r="F2" s="634"/>
      <c r="G2" s="634"/>
      <c r="H2" s="34"/>
      <c r="I2" s="35"/>
      <c r="J2" s="35"/>
      <c r="K2" s="35"/>
    </row>
    <row r="3" spans="1:32" ht="23.25" customHeight="1">
      <c r="B3" s="635" t="s">
        <v>203</v>
      </c>
      <c r="C3" s="635"/>
      <c r="D3" s="635"/>
      <c r="E3" s="635"/>
      <c r="F3" s="635"/>
      <c r="G3" s="635"/>
      <c r="H3" s="34"/>
      <c r="I3" s="35"/>
      <c r="J3" s="35"/>
      <c r="K3" s="35"/>
    </row>
    <row r="4" spans="1:32" ht="23.25" customHeight="1">
      <c r="A4" s="389" t="s">
        <v>204</v>
      </c>
      <c r="B4" s="38" t="s">
        <v>205</v>
      </c>
      <c r="C4" s="577" t="s">
        <v>494</v>
      </c>
      <c r="D4" s="651"/>
      <c r="E4" s="651"/>
      <c r="F4" s="651"/>
      <c r="G4" s="578"/>
      <c r="H4" s="647" t="s">
        <v>265</v>
      </c>
      <c r="I4" s="639" t="s">
        <v>262</v>
      </c>
      <c r="J4" s="639" t="s">
        <v>263</v>
      </c>
      <c r="K4" s="639" t="s">
        <v>264</v>
      </c>
      <c r="L4" s="637" t="s">
        <v>492</v>
      </c>
      <c r="M4" s="637"/>
      <c r="N4" s="637"/>
      <c r="O4" s="637"/>
      <c r="P4" s="638"/>
      <c r="Q4" s="401" t="s">
        <v>502</v>
      </c>
      <c r="R4" s="578" t="s">
        <v>493</v>
      </c>
      <c r="S4" s="582"/>
      <c r="T4" s="582"/>
      <c r="U4" s="582"/>
      <c r="V4" s="582"/>
      <c r="W4" s="582" t="s">
        <v>501</v>
      </c>
      <c r="X4" s="582"/>
      <c r="Y4" s="582"/>
      <c r="Z4" s="582"/>
      <c r="AA4" s="582"/>
      <c r="AB4" s="582" t="s">
        <v>412</v>
      </c>
      <c r="AC4" s="582"/>
      <c r="AD4" s="582"/>
      <c r="AE4" s="582"/>
      <c r="AF4" s="582"/>
    </row>
    <row r="5" spans="1:32" s="41" customFormat="1" ht="23.25" customHeight="1">
      <c r="A5" s="389"/>
      <c r="B5" s="38" t="s">
        <v>9</v>
      </c>
      <c r="C5" s="379" t="s">
        <v>206</v>
      </c>
      <c r="D5" s="379" t="s">
        <v>207</v>
      </c>
      <c r="E5" s="379" t="s">
        <v>10</v>
      </c>
      <c r="F5" s="379" t="s">
        <v>11</v>
      </c>
      <c r="G5" s="39" t="s">
        <v>208</v>
      </c>
      <c r="H5" s="648"/>
      <c r="I5" s="582"/>
      <c r="J5" s="582"/>
      <c r="K5" s="582"/>
      <c r="L5" s="40" t="s">
        <v>206</v>
      </c>
      <c r="M5" s="40" t="s">
        <v>207</v>
      </c>
      <c r="N5" s="40" t="s">
        <v>491</v>
      </c>
      <c r="O5" s="40" t="s">
        <v>11</v>
      </c>
      <c r="P5" s="399" t="s">
        <v>267</v>
      </c>
      <c r="Q5" s="401" t="s">
        <v>10</v>
      </c>
      <c r="R5" s="382" t="s">
        <v>206</v>
      </c>
      <c r="S5" s="379" t="s">
        <v>207</v>
      </c>
      <c r="T5" s="379" t="s">
        <v>10</v>
      </c>
      <c r="U5" s="379" t="s">
        <v>11</v>
      </c>
      <c r="V5" s="39" t="s">
        <v>409</v>
      </c>
      <c r="W5" s="382" t="s">
        <v>206</v>
      </c>
      <c r="X5" s="379" t="s">
        <v>207</v>
      </c>
      <c r="Y5" s="379" t="s">
        <v>10</v>
      </c>
      <c r="Z5" s="379" t="s">
        <v>11</v>
      </c>
      <c r="AA5" s="39" t="s">
        <v>267</v>
      </c>
      <c r="AB5" s="382" t="s">
        <v>206</v>
      </c>
      <c r="AC5" s="379" t="s">
        <v>207</v>
      </c>
      <c r="AD5" s="379" t="s">
        <v>10</v>
      </c>
      <c r="AE5" s="379" t="s">
        <v>11</v>
      </c>
      <c r="AF5" s="379" t="s">
        <v>267</v>
      </c>
    </row>
    <row r="6" spans="1:32" ht="23.25" customHeight="1">
      <c r="B6" s="42" t="s">
        <v>209</v>
      </c>
      <c r="C6" s="6">
        <v>0</v>
      </c>
      <c r="D6" s="6">
        <v>0</v>
      </c>
      <c r="E6" s="373">
        <v>0</v>
      </c>
      <c r="F6" s="6">
        <v>0</v>
      </c>
      <c r="G6" s="374"/>
      <c r="H6" s="43"/>
      <c r="I6" s="44"/>
      <c r="J6" s="44"/>
      <c r="K6" s="44"/>
      <c r="L6" s="6">
        <f>+C297*C6/C92</f>
        <v>0</v>
      </c>
      <c r="M6" s="6">
        <f>+D297*D6/D92</f>
        <v>0</v>
      </c>
      <c r="N6" s="6">
        <v>0</v>
      </c>
      <c r="O6" s="28">
        <v>0</v>
      </c>
      <c r="P6" s="398">
        <f>SUM(L6:O6)</f>
        <v>0</v>
      </c>
      <c r="Q6" s="402">
        <v>0</v>
      </c>
      <c r="R6" s="46">
        <f>+C6+L6</f>
        <v>0</v>
      </c>
      <c r="S6" s="46">
        <f>+D6+M6</f>
        <v>0</v>
      </c>
      <c r="T6" s="46">
        <f>+E6+N6+Q6</f>
        <v>0</v>
      </c>
      <c r="U6" s="46">
        <f>+K6</f>
        <v>0</v>
      </c>
      <c r="V6" s="45">
        <f t="shared" ref="V6:V12" si="0">SUM(R6:U6)</f>
        <v>0</v>
      </c>
      <c r="W6" s="47">
        <f t="shared" ref="W6:X11" si="1">+C465*R6/R256</f>
        <v>0</v>
      </c>
      <c r="X6" s="47">
        <f t="shared" si="1"/>
        <v>0</v>
      </c>
      <c r="Y6" s="47">
        <v>0</v>
      </c>
      <c r="Z6" s="47">
        <f>+F465*U6/U256</f>
        <v>0</v>
      </c>
      <c r="AA6" s="48">
        <f>SUM(W6:Z6)</f>
        <v>0</v>
      </c>
      <c r="AB6" s="46">
        <f>+R6+W6</f>
        <v>0</v>
      </c>
      <c r="AC6" s="46">
        <f t="shared" ref="AC6:AE14" si="2">+S6+X6</f>
        <v>0</v>
      </c>
      <c r="AD6" s="46">
        <f t="shared" si="2"/>
        <v>0</v>
      </c>
      <c r="AE6" s="46">
        <f t="shared" si="2"/>
        <v>0</v>
      </c>
      <c r="AF6" s="46">
        <f>SUM(AB6:AE6)</f>
        <v>0</v>
      </c>
    </row>
    <row r="7" spans="1:32" ht="23.25" customHeight="1">
      <c r="B7" s="42" t="s">
        <v>210</v>
      </c>
      <c r="C7" s="6">
        <v>27567953.02</v>
      </c>
      <c r="D7" s="6">
        <v>15541777.699999999</v>
      </c>
      <c r="E7" s="373">
        <v>0</v>
      </c>
      <c r="F7" s="6">
        <v>24490200.611000001</v>
      </c>
      <c r="G7" s="374">
        <f>SUM(C7:F7)</f>
        <v>67599931.331</v>
      </c>
      <c r="H7" s="49">
        <f>+F15</f>
        <v>24490200.611000001</v>
      </c>
      <c r="I7" s="28">
        <f>+C7+D7</f>
        <v>43109730.719999999</v>
      </c>
      <c r="J7" s="28">
        <f>+I7*100/I15</f>
        <v>90.196988591341608</v>
      </c>
      <c r="K7" s="28">
        <f>+H7*J7/100</f>
        <v>22089423.451100346</v>
      </c>
      <c r="L7" s="6">
        <f>+C298*C7/C93</f>
        <v>3252342.9060944305</v>
      </c>
      <c r="M7" s="6">
        <f>+D298*D7/D93</f>
        <v>2376395.9689785736</v>
      </c>
      <c r="N7" s="6">
        <v>0</v>
      </c>
      <c r="O7" s="28">
        <v>0</v>
      </c>
      <c r="P7" s="398">
        <f t="shared" ref="P7:P14" si="3">SUM(L7:O7)</f>
        <v>5628738.8750730045</v>
      </c>
      <c r="Q7" s="402">
        <v>1694007.51</v>
      </c>
      <c r="R7" s="46">
        <f t="shared" ref="R7:R14" si="4">+C7+L7</f>
        <v>30820295.926094431</v>
      </c>
      <c r="S7" s="46">
        <f t="shared" ref="S7:S14" si="5">+D7+M7</f>
        <v>17918173.668978572</v>
      </c>
      <c r="T7" s="46">
        <f t="shared" ref="T7:T15" si="6">+E7+N7+Q7</f>
        <v>1694007.51</v>
      </c>
      <c r="U7" s="46">
        <f t="shared" ref="U7:U14" si="7">+K7</f>
        <v>22089423.451100346</v>
      </c>
      <c r="V7" s="45">
        <f>SUM(R7:U7)</f>
        <v>72521900.556173339</v>
      </c>
      <c r="W7" s="47">
        <f>+C466*R7/R257</f>
        <v>46287905.709695108</v>
      </c>
      <c r="X7" s="47">
        <f t="shared" si="1"/>
        <v>10185210.586061548</v>
      </c>
      <c r="Y7" s="47">
        <v>0</v>
      </c>
      <c r="Z7" s="47">
        <f t="shared" ref="Z7:Z13" si="8">+F466*U7/U257</f>
        <v>13958332.495357038</v>
      </c>
      <c r="AA7" s="48">
        <f t="shared" ref="AA7:AA14" si="9">SUM(W7:Z7)</f>
        <v>70431448.79111369</v>
      </c>
      <c r="AB7" s="46">
        <f t="shared" ref="AB7:AB14" si="10">+R7+W7</f>
        <v>77108201.635789543</v>
      </c>
      <c r="AC7" s="46">
        <f t="shared" si="2"/>
        <v>28103384.25504012</v>
      </c>
      <c r="AD7" s="46">
        <f t="shared" si="2"/>
        <v>1694007.51</v>
      </c>
      <c r="AE7" s="46">
        <f t="shared" si="2"/>
        <v>36047755.946457386</v>
      </c>
      <c r="AF7" s="46">
        <f>SUM(AB7:AE7)</f>
        <v>142953349.34728706</v>
      </c>
    </row>
    <row r="8" spans="1:32" ht="23.25" customHeight="1">
      <c r="B8" s="42" t="s">
        <v>211</v>
      </c>
      <c r="C8" s="6">
        <v>344332</v>
      </c>
      <c r="D8" s="375">
        <v>13000</v>
      </c>
      <c r="E8" s="375">
        <v>0</v>
      </c>
      <c r="F8" s="373">
        <v>0</v>
      </c>
      <c r="G8" s="374">
        <f t="shared" ref="G8:G14" si="11">SUM(C8:F8)</f>
        <v>357332</v>
      </c>
      <c r="H8" s="49"/>
      <c r="I8" s="28">
        <f>+C8+D8</f>
        <v>357332</v>
      </c>
      <c r="J8" s="28">
        <f>+I8*100/I15</f>
        <v>0.7476333020184841</v>
      </c>
      <c r="K8" s="28">
        <f>+H7*J8/100</f>
        <v>183096.89549897026</v>
      </c>
      <c r="L8" s="6">
        <f>+C299*C8/C94</f>
        <v>0</v>
      </c>
      <c r="M8" s="6">
        <v>0</v>
      </c>
      <c r="N8" s="6">
        <v>0</v>
      </c>
      <c r="O8" s="28">
        <v>0</v>
      </c>
      <c r="P8" s="398">
        <f t="shared" si="3"/>
        <v>0</v>
      </c>
      <c r="Q8" s="402">
        <v>0</v>
      </c>
      <c r="R8" s="46">
        <f t="shared" si="4"/>
        <v>344332</v>
      </c>
      <c r="S8" s="46">
        <f t="shared" si="5"/>
        <v>13000</v>
      </c>
      <c r="T8" s="46">
        <f t="shared" si="6"/>
        <v>0</v>
      </c>
      <c r="U8" s="46">
        <f t="shared" si="7"/>
        <v>183096.89549897026</v>
      </c>
      <c r="V8" s="45">
        <f t="shared" si="0"/>
        <v>540428.89549897029</v>
      </c>
      <c r="W8" s="47">
        <f t="shared" si="1"/>
        <v>44565.33402890079</v>
      </c>
      <c r="X8" s="47">
        <f t="shared" si="1"/>
        <v>0</v>
      </c>
      <c r="Y8" s="47">
        <v>0</v>
      </c>
      <c r="Z8" s="47">
        <f t="shared" si="8"/>
        <v>0</v>
      </c>
      <c r="AA8" s="48">
        <f t="shared" si="9"/>
        <v>44565.33402890079</v>
      </c>
      <c r="AB8" s="46">
        <f t="shared" si="10"/>
        <v>388897.33402890078</v>
      </c>
      <c r="AC8" s="46">
        <f t="shared" si="2"/>
        <v>13000</v>
      </c>
      <c r="AD8" s="46">
        <f t="shared" si="2"/>
        <v>0</v>
      </c>
      <c r="AE8" s="46">
        <f t="shared" si="2"/>
        <v>183096.89549897026</v>
      </c>
      <c r="AF8" s="46">
        <f t="shared" ref="AF8:AF15" si="12">SUM(AB8:AE8)</f>
        <v>584994.22952787101</v>
      </c>
    </row>
    <row r="9" spans="1:32" ht="23.25" customHeight="1">
      <c r="B9" s="42" t="s">
        <v>212</v>
      </c>
      <c r="C9" s="6">
        <v>190500</v>
      </c>
      <c r="D9" s="6">
        <v>13300</v>
      </c>
      <c r="E9" s="373">
        <v>0</v>
      </c>
      <c r="F9" s="6">
        <v>0</v>
      </c>
      <c r="G9" s="374">
        <f t="shared" si="11"/>
        <v>203800</v>
      </c>
      <c r="H9" s="49"/>
      <c r="I9" s="28">
        <f>+C9+D9</f>
        <v>203800</v>
      </c>
      <c r="J9" s="28">
        <f>+I9*100/I15</f>
        <v>0.42640364409391562</v>
      </c>
      <c r="K9" s="28">
        <f>+H7*J9/100</f>
        <v>104427.10785121439</v>
      </c>
      <c r="L9" s="6">
        <f t="shared" ref="L9:L13" si="13">+C300*C9/C95</f>
        <v>0</v>
      </c>
      <c r="M9" s="6">
        <f>+D300*D9/D95</f>
        <v>0</v>
      </c>
      <c r="N9" s="6">
        <v>0</v>
      </c>
      <c r="O9" s="28">
        <v>0</v>
      </c>
      <c r="P9" s="398">
        <f t="shared" si="3"/>
        <v>0</v>
      </c>
      <c r="Q9" s="402">
        <v>0</v>
      </c>
      <c r="R9" s="46">
        <f t="shared" si="4"/>
        <v>190500</v>
      </c>
      <c r="S9" s="46">
        <f t="shared" si="5"/>
        <v>13300</v>
      </c>
      <c r="T9" s="46">
        <f t="shared" si="6"/>
        <v>0</v>
      </c>
      <c r="U9" s="46">
        <f t="shared" si="7"/>
        <v>104427.10785121439</v>
      </c>
      <c r="V9" s="45">
        <f t="shared" si="0"/>
        <v>308227.10785121436</v>
      </c>
      <c r="W9" s="47">
        <f t="shared" si="1"/>
        <v>138099.91438522842</v>
      </c>
      <c r="X9" s="47">
        <f t="shared" si="1"/>
        <v>2086.7737914711138</v>
      </c>
      <c r="Y9" s="47">
        <v>0</v>
      </c>
      <c r="Z9" s="47">
        <f t="shared" si="8"/>
        <v>22194.179562952468</v>
      </c>
      <c r="AA9" s="48">
        <f t="shared" si="9"/>
        <v>162380.86773965199</v>
      </c>
      <c r="AB9" s="46">
        <f t="shared" si="10"/>
        <v>328599.91438522842</v>
      </c>
      <c r="AC9" s="46">
        <f t="shared" si="2"/>
        <v>15386.773791471114</v>
      </c>
      <c r="AD9" s="46">
        <f t="shared" si="2"/>
        <v>0</v>
      </c>
      <c r="AE9" s="46">
        <f t="shared" si="2"/>
        <v>126621.28741416686</v>
      </c>
      <c r="AF9" s="46">
        <f t="shared" si="12"/>
        <v>470607.97559086635</v>
      </c>
    </row>
    <row r="10" spans="1:32" ht="23.25" customHeight="1">
      <c r="B10" s="42" t="s">
        <v>213</v>
      </c>
      <c r="C10" s="6">
        <v>2004100</v>
      </c>
      <c r="D10" s="6">
        <v>475000</v>
      </c>
      <c r="E10" s="373">
        <v>0</v>
      </c>
      <c r="F10" s="6">
        <v>0</v>
      </c>
      <c r="G10" s="374">
        <f t="shared" si="11"/>
        <v>2479100</v>
      </c>
      <c r="H10" s="49"/>
      <c r="I10" s="28">
        <f>+C10+D10</f>
        <v>2479100</v>
      </c>
      <c r="J10" s="28">
        <f>+I10*100/I15</f>
        <v>5.1869346127243681</v>
      </c>
      <c r="K10" s="28">
        <f>+H7*J10/100</f>
        <v>1270290.6922175938</v>
      </c>
      <c r="L10" s="6">
        <f>+C301*C10/C96</f>
        <v>0</v>
      </c>
      <c r="M10" s="6">
        <f>+D301*D10/D96</f>
        <v>0</v>
      </c>
      <c r="N10" s="6">
        <v>0</v>
      </c>
      <c r="O10" s="28">
        <v>0</v>
      </c>
      <c r="P10" s="398">
        <f t="shared" si="3"/>
        <v>0</v>
      </c>
      <c r="Q10" s="402">
        <v>0</v>
      </c>
      <c r="R10" s="46">
        <f t="shared" si="4"/>
        <v>2004100</v>
      </c>
      <c r="S10" s="46">
        <f t="shared" si="5"/>
        <v>475000</v>
      </c>
      <c r="T10" s="46">
        <f t="shared" si="6"/>
        <v>0</v>
      </c>
      <c r="U10" s="46">
        <f t="shared" si="7"/>
        <v>1270290.6922175938</v>
      </c>
      <c r="V10" s="45">
        <f t="shared" si="0"/>
        <v>3749390.692217594</v>
      </c>
      <c r="W10" s="47">
        <f t="shared" si="1"/>
        <v>0</v>
      </c>
      <c r="X10" s="47">
        <f t="shared" si="1"/>
        <v>0</v>
      </c>
      <c r="Y10" s="47">
        <v>0</v>
      </c>
      <c r="Z10" s="47">
        <f t="shared" si="8"/>
        <v>0</v>
      </c>
      <c r="AA10" s="48">
        <f t="shared" si="9"/>
        <v>0</v>
      </c>
      <c r="AB10" s="46">
        <f t="shared" si="10"/>
        <v>2004100</v>
      </c>
      <c r="AC10" s="46">
        <f t="shared" si="2"/>
        <v>475000</v>
      </c>
      <c r="AD10" s="46">
        <f t="shared" si="2"/>
        <v>0</v>
      </c>
      <c r="AE10" s="46">
        <f t="shared" si="2"/>
        <v>1270290.6922175938</v>
      </c>
      <c r="AF10" s="46">
        <f t="shared" si="12"/>
        <v>3749390.692217594</v>
      </c>
    </row>
    <row r="11" spans="1:32" ht="23.25" customHeight="1">
      <c r="B11" s="42" t="s">
        <v>214</v>
      </c>
      <c r="C11" s="6">
        <v>1230200</v>
      </c>
      <c r="D11" s="6">
        <v>314500</v>
      </c>
      <c r="E11" s="373">
        <v>0</v>
      </c>
      <c r="F11" s="6">
        <v>0</v>
      </c>
      <c r="G11" s="374">
        <f t="shared" si="11"/>
        <v>1544700</v>
      </c>
      <c r="H11" s="49"/>
      <c r="I11" s="28">
        <f t="shared" ref="I11:I14" si="14">+C11+D11</f>
        <v>1544700</v>
      </c>
      <c r="J11" s="28">
        <f>+I11*100/I15</f>
        <v>3.2319220266529509</v>
      </c>
      <c r="K11" s="28">
        <f>+H7*J11/100</f>
        <v>791504.18791840458</v>
      </c>
      <c r="L11" s="6">
        <f>+C302*C11/C97</f>
        <v>0</v>
      </c>
      <c r="M11" s="6">
        <f>+D302*D11/D97</f>
        <v>0</v>
      </c>
      <c r="N11" s="6">
        <v>0</v>
      </c>
      <c r="O11" s="28">
        <v>0</v>
      </c>
      <c r="P11" s="398">
        <f t="shared" si="3"/>
        <v>0</v>
      </c>
      <c r="Q11" s="402">
        <v>0</v>
      </c>
      <c r="R11" s="46">
        <f t="shared" si="4"/>
        <v>1230200</v>
      </c>
      <c r="S11" s="46">
        <f t="shared" si="5"/>
        <v>314500</v>
      </c>
      <c r="T11" s="46">
        <f t="shared" si="6"/>
        <v>0</v>
      </c>
      <c r="U11" s="46">
        <f t="shared" si="7"/>
        <v>791504.18791840458</v>
      </c>
      <c r="V11" s="45">
        <f t="shared" si="0"/>
        <v>2336204.1879184046</v>
      </c>
      <c r="W11" s="47">
        <f t="shared" si="1"/>
        <v>0</v>
      </c>
      <c r="X11" s="47">
        <f t="shared" si="1"/>
        <v>0</v>
      </c>
      <c r="Y11" s="47">
        <v>0</v>
      </c>
      <c r="Z11" s="47">
        <f t="shared" si="8"/>
        <v>0</v>
      </c>
      <c r="AA11" s="48">
        <f t="shared" si="9"/>
        <v>0</v>
      </c>
      <c r="AB11" s="46">
        <f t="shared" si="10"/>
        <v>1230200</v>
      </c>
      <c r="AC11" s="46">
        <f t="shared" si="2"/>
        <v>314500</v>
      </c>
      <c r="AD11" s="46">
        <f t="shared" si="2"/>
        <v>0</v>
      </c>
      <c r="AE11" s="46">
        <f t="shared" si="2"/>
        <v>791504.18791840458</v>
      </c>
      <c r="AF11" s="46">
        <f t="shared" si="12"/>
        <v>2336204.1879184046</v>
      </c>
    </row>
    <row r="12" spans="1:32" ht="23.25" customHeight="1">
      <c r="B12" s="50" t="s">
        <v>437</v>
      </c>
      <c r="C12" s="28">
        <v>0</v>
      </c>
      <c r="D12" s="28">
        <v>0</v>
      </c>
      <c r="E12" s="40">
        <v>0</v>
      </c>
      <c r="F12" s="28">
        <v>0</v>
      </c>
      <c r="G12" s="374">
        <f t="shared" si="11"/>
        <v>0</v>
      </c>
      <c r="H12" s="49"/>
      <c r="I12" s="28">
        <f t="shared" si="14"/>
        <v>0</v>
      </c>
      <c r="J12" s="28">
        <f>+I12*100/I15</f>
        <v>0</v>
      </c>
      <c r="K12" s="28">
        <f>+H7*J12/100</f>
        <v>0</v>
      </c>
      <c r="L12" s="6">
        <v>0</v>
      </c>
      <c r="M12" s="6">
        <v>0</v>
      </c>
      <c r="N12" s="6">
        <v>0</v>
      </c>
      <c r="O12" s="28">
        <v>0</v>
      </c>
      <c r="P12" s="398">
        <f t="shared" si="3"/>
        <v>0</v>
      </c>
      <c r="Q12" s="402">
        <v>0</v>
      </c>
      <c r="R12" s="46">
        <f t="shared" si="4"/>
        <v>0</v>
      </c>
      <c r="S12" s="46">
        <f t="shared" si="5"/>
        <v>0</v>
      </c>
      <c r="T12" s="46">
        <f t="shared" si="6"/>
        <v>0</v>
      </c>
      <c r="U12" s="46">
        <f t="shared" si="7"/>
        <v>0</v>
      </c>
      <c r="V12" s="45">
        <f t="shared" si="0"/>
        <v>0</v>
      </c>
      <c r="W12" s="47">
        <f>+C471*R12/R262</f>
        <v>0</v>
      </c>
      <c r="X12" s="47">
        <v>0</v>
      </c>
      <c r="Y12" s="47">
        <v>0</v>
      </c>
      <c r="Z12" s="47">
        <v>0</v>
      </c>
      <c r="AA12" s="48">
        <f t="shared" si="9"/>
        <v>0</v>
      </c>
      <c r="AB12" s="46">
        <f t="shared" si="10"/>
        <v>0</v>
      </c>
      <c r="AC12" s="46">
        <f t="shared" si="2"/>
        <v>0</v>
      </c>
      <c r="AD12" s="46">
        <f t="shared" si="2"/>
        <v>0</v>
      </c>
      <c r="AE12" s="46">
        <f t="shared" si="2"/>
        <v>0</v>
      </c>
      <c r="AF12" s="46">
        <f t="shared" si="12"/>
        <v>0</v>
      </c>
    </row>
    <row r="13" spans="1:32" ht="23.25" customHeight="1">
      <c r="B13" s="50" t="s">
        <v>215</v>
      </c>
      <c r="C13" s="28">
        <v>100426</v>
      </c>
      <c r="D13" s="28">
        <v>0</v>
      </c>
      <c r="E13" s="40">
        <v>0</v>
      </c>
      <c r="F13" s="28">
        <v>0</v>
      </c>
      <c r="G13" s="374">
        <f t="shared" si="11"/>
        <v>100426</v>
      </c>
      <c r="H13" s="49"/>
      <c r="I13" s="28">
        <f>+C13+D13</f>
        <v>100426</v>
      </c>
      <c r="J13" s="28">
        <f>+I13*100/I15</f>
        <v>0.21011782316867306</v>
      </c>
      <c r="K13" s="28">
        <f>+H7*J13/100</f>
        <v>51458.276413474268</v>
      </c>
      <c r="L13" s="6">
        <f t="shared" si="13"/>
        <v>0</v>
      </c>
      <c r="M13" s="6">
        <v>0</v>
      </c>
      <c r="N13" s="6">
        <v>0</v>
      </c>
      <c r="O13" s="28">
        <v>0</v>
      </c>
      <c r="P13" s="398">
        <f t="shared" si="3"/>
        <v>0</v>
      </c>
      <c r="Q13" s="402">
        <v>0</v>
      </c>
      <c r="R13" s="46">
        <f t="shared" si="4"/>
        <v>100426</v>
      </c>
      <c r="S13" s="46">
        <f t="shared" si="5"/>
        <v>0</v>
      </c>
      <c r="T13" s="46">
        <f t="shared" si="6"/>
        <v>0</v>
      </c>
      <c r="U13" s="46">
        <f t="shared" si="7"/>
        <v>51458.276413474268</v>
      </c>
      <c r="V13" s="45">
        <f>SUM(R13:U13)</f>
        <v>151884.27641347426</v>
      </c>
      <c r="W13" s="47">
        <f>+C472*R13/R263</f>
        <v>81983.039594807502</v>
      </c>
      <c r="X13" s="47">
        <v>0</v>
      </c>
      <c r="Y13" s="47">
        <v>0</v>
      </c>
      <c r="Z13" s="47">
        <f t="shared" si="8"/>
        <v>9935.0601594663804</v>
      </c>
      <c r="AA13" s="48">
        <f t="shared" si="9"/>
        <v>91918.099754273877</v>
      </c>
      <c r="AB13" s="46">
        <f t="shared" si="10"/>
        <v>182409.03959480749</v>
      </c>
      <c r="AC13" s="46">
        <f t="shared" si="2"/>
        <v>0</v>
      </c>
      <c r="AD13" s="46">
        <f t="shared" si="2"/>
        <v>0</v>
      </c>
      <c r="AE13" s="46">
        <f t="shared" si="2"/>
        <v>61393.336572940651</v>
      </c>
      <c r="AF13" s="46">
        <f t="shared" si="12"/>
        <v>243802.37616774812</v>
      </c>
    </row>
    <row r="14" spans="1:32" ht="23.25" customHeight="1">
      <c r="B14" s="42" t="s">
        <v>216</v>
      </c>
      <c r="C14" s="28">
        <v>0</v>
      </c>
      <c r="D14" s="28">
        <v>0</v>
      </c>
      <c r="E14" s="40">
        <v>0</v>
      </c>
      <c r="F14" s="28">
        <v>0</v>
      </c>
      <c r="G14" s="374">
        <f t="shared" si="11"/>
        <v>0</v>
      </c>
      <c r="H14" s="49"/>
      <c r="I14" s="28">
        <f t="shared" si="14"/>
        <v>0</v>
      </c>
      <c r="J14" s="28">
        <v>0</v>
      </c>
      <c r="K14" s="28">
        <v>0</v>
      </c>
      <c r="L14" s="6">
        <v>0</v>
      </c>
      <c r="M14" s="6">
        <v>0</v>
      </c>
      <c r="N14" s="6">
        <v>0</v>
      </c>
      <c r="O14" s="28">
        <v>0</v>
      </c>
      <c r="P14" s="398">
        <f t="shared" si="3"/>
        <v>0</v>
      </c>
      <c r="Q14" s="402">
        <v>0</v>
      </c>
      <c r="R14" s="46">
        <f t="shared" si="4"/>
        <v>0</v>
      </c>
      <c r="S14" s="46">
        <f t="shared" si="5"/>
        <v>0</v>
      </c>
      <c r="T14" s="46">
        <f t="shared" si="6"/>
        <v>0</v>
      </c>
      <c r="U14" s="46">
        <f t="shared" si="7"/>
        <v>0</v>
      </c>
      <c r="V14" s="45">
        <f>SUM(R14:U14)</f>
        <v>0</v>
      </c>
      <c r="W14" s="47">
        <v>0</v>
      </c>
      <c r="X14" s="47">
        <v>0</v>
      </c>
      <c r="Y14" s="47">
        <v>0</v>
      </c>
      <c r="Z14" s="47">
        <v>0</v>
      </c>
      <c r="AA14" s="48">
        <f t="shared" si="9"/>
        <v>0</v>
      </c>
      <c r="AB14" s="46">
        <f t="shared" si="10"/>
        <v>0</v>
      </c>
      <c r="AC14" s="46">
        <f t="shared" si="2"/>
        <v>0</v>
      </c>
      <c r="AD14" s="46">
        <f t="shared" si="2"/>
        <v>0</v>
      </c>
      <c r="AE14" s="46">
        <f t="shared" si="2"/>
        <v>0</v>
      </c>
      <c r="AF14" s="46">
        <f t="shared" si="12"/>
        <v>0</v>
      </c>
    </row>
    <row r="15" spans="1:32" ht="23.25" customHeight="1">
      <c r="B15" s="42"/>
      <c r="C15" s="28">
        <f>SUM(C6:C14)</f>
        <v>31437511.02</v>
      </c>
      <c r="D15" s="28">
        <f>SUM(D6:D14)</f>
        <v>16357577.699999999</v>
      </c>
      <c r="E15" s="28">
        <f>SUM(E6:E14)</f>
        <v>0</v>
      </c>
      <c r="F15" s="28">
        <f>SUM(F6:F14)</f>
        <v>24490200.611000001</v>
      </c>
      <c r="G15" s="45">
        <f>SUM(G6:G14)</f>
        <v>72285289.331</v>
      </c>
      <c r="H15" s="49"/>
      <c r="I15" s="28">
        <f>SUM(I7:I14)</f>
        <v>47795088.719999999</v>
      </c>
      <c r="J15" s="28">
        <f>SUM(J7:J14)</f>
        <v>100</v>
      </c>
      <c r="K15" s="28">
        <f>SUM(K7:K14)</f>
        <v>24490200.611000001</v>
      </c>
      <c r="L15" s="28">
        <f>SUM(L6:L14)</f>
        <v>3252342.9060944305</v>
      </c>
      <c r="M15" s="28">
        <f t="shared" ref="M15:Z15" si="15">SUM(M6:M14)</f>
        <v>2376395.9689785736</v>
      </c>
      <c r="N15" s="28">
        <f t="shared" si="15"/>
        <v>0</v>
      </c>
      <c r="O15" s="28">
        <f t="shared" si="15"/>
        <v>0</v>
      </c>
      <c r="P15" s="398">
        <f t="shared" si="15"/>
        <v>5628738.8750730045</v>
      </c>
      <c r="Q15" s="402">
        <f>SUM(Q6:Q14)</f>
        <v>1694007.51</v>
      </c>
      <c r="R15" s="46">
        <f>SUM(R6:R14)</f>
        <v>34689853.926094428</v>
      </c>
      <c r="S15" s="46">
        <f t="shared" si="15"/>
        <v>18733973.668978572</v>
      </c>
      <c r="T15" s="46">
        <f t="shared" si="6"/>
        <v>1694007.51</v>
      </c>
      <c r="U15" s="46">
        <f t="shared" ref="U15" si="16">+K15+O15</f>
        <v>24490200.611000001</v>
      </c>
      <c r="V15" s="51">
        <f>SUM(V6:V14)</f>
        <v>79608035.716072991</v>
      </c>
      <c r="W15" s="46">
        <f t="shared" si="15"/>
        <v>46552553.997704044</v>
      </c>
      <c r="X15" s="28">
        <f>SUM(X6:X14)</f>
        <v>10187297.35985302</v>
      </c>
      <c r="Y15" s="28">
        <f t="shared" si="15"/>
        <v>0</v>
      </c>
      <c r="Z15" s="28">
        <f t="shared" si="15"/>
        <v>13990461.735079458</v>
      </c>
      <c r="AA15" s="45">
        <f>SUM(W15:Z15)</f>
        <v>70730313.092636526</v>
      </c>
      <c r="AB15" s="46">
        <f>SUM(AB6:AB14)</f>
        <v>81242407.923798487</v>
      </c>
      <c r="AC15" s="46">
        <f>SUM(AC6:AC14)</f>
        <v>28921271.02883159</v>
      </c>
      <c r="AD15" s="46">
        <f>SUM(AD6:AD14)</f>
        <v>1694007.51</v>
      </c>
      <c r="AE15" s="46">
        <f>SUM(AE6:AE14)</f>
        <v>38480662.346079454</v>
      </c>
      <c r="AF15" s="46">
        <f t="shared" si="12"/>
        <v>150338348.80870953</v>
      </c>
    </row>
    <row r="16" spans="1:32" ht="23.25" customHeight="1">
      <c r="B16" s="52"/>
      <c r="C16" s="33">
        <f>53485242.62-22047731.6</f>
        <v>31437511.019999996</v>
      </c>
      <c r="D16" s="33">
        <f>18800046.71-2442469.01</f>
        <v>16357577.700000001</v>
      </c>
      <c r="E16" s="53">
        <v>0</v>
      </c>
      <c r="F16" s="33">
        <f>22047731.6+2442469.01</f>
        <v>24490200.609999999</v>
      </c>
      <c r="G16" s="29">
        <f>SUM(C16:F16)</f>
        <v>72285289.329999998</v>
      </c>
      <c r="R16" s="27"/>
      <c r="S16" s="27"/>
      <c r="T16" s="27"/>
      <c r="U16" s="27"/>
      <c r="V16" s="29"/>
    </row>
    <row r="17" spans="1:32" ht="14.25" customHeight="1">
      <c r="B17" s="52"/>
      <c r="C17" s="33"/>
      <c r="D17" s="33"/>
      <c r="E17" s="53"/>
      <c r="F17" s="33"/>
      <c r="G17" s="29"/>
      <c r="R17" s="27"/>
      <c r="S17" s="27"/>
      <c r="T17" s="27"/>
      <c r="U17" s="27"/>
      <c r="V17" s="29"/>
    </row>
    <row r="18" spans="1:32">
      <c r="A18" s="389" t="s">
        <v>217</v>
      </c>
      <c r="B18" s="636" t="s">
        <v>218</v>
      </c>
      <c r="C18" s="636"/>
      <c r="D18" s="636"/>
      <c r="E18" s="636"/>
      <c r="F18" s="636"/>
      <c r="G18" s="636"/>
      <c r="R18" s="27"/>
      <c r="S18" s="27"/>
      <c r="T18" s="27"/>
      <c r="U18" s="27"/>
      <c r="V18" s="29"/>
    </row>
    <row r="19" spans="1:32">
      <c r="B19" s="55" t="s">
        <v>9</v>
      </c>
      <c r="C19" s="40" t="s">
        <v>206</v>
      </c>
      <c r="D19" s="40" t="s">
        <v>207</v>
      </c>
      <c r="E19" s="40" t="s">
        <v>10</v>
      </c>
      <c r="F19" s="40" t="s">
        <v>11</v>
      </c>
      <c r="G19" s="48" t="s">
        <v>208</v>
      </c>
      <c r="H19" s="43"/>
      <c r="I19" s="44"/>
      <c r="J19" s="44"/>
      <c r="K19" s="44"/>
      <c r="L19" s="28"/>
      <c r="M19" s="28"/>
      <c r="N19" s="28"/>
      <c r="O19" s="28"/>
      <c r="P19" s="45"/>
      <c r="Q19" s="403"/>
      <c r="R19" s="46"/>
      <c r="S19" s="28"/>
      <c r="T19" s="28"/>
      <c r="U19" s="28"/>
      <c r="V19" s="45"/>
      <c r="W19" s="56"/>
      <c r="X19" s="44"/>
      <c r="Y19" s="44"/>
      <c r="Z19" s="44"/>
      <c r="AA19" s="57"/>
      <c r="AB19" s="56"/>
      <c r="AC19" s="44"/>
      <c r="AD19" s="44"/>
      <c r="AE19" s="44"/>
      <c r="AF19" s="44"/>
    </row>
    <row r="20" spans="1:32">
      <c r="B20" s="42" t="s">
        <v>209</v>
      </c>
      <c r="C20" s="6">
        <f>5448038.6+5936612.01</f>
        <v>11384650.609999999</v>
      </c>
      <c r="D20" s="6">
        <f>10088261.47+3586818.19</f>
        <v>13675079.66</v>
      </c>
      <c r="E20" s="373">
        <v>0</v>
      </c>
      <c r="F20" s="6">
        <v>17433157.59</v>
      </c>
      <c r="G20" s="374">
        <f>SUM(C20:F20)</f>
        <v>42492887.859999999</v>
      </c>
      <c r="H20" s="43">
        <f>+F29</f>
        <v>17433157.59</v>
      </c>
      <c r="I20" s="28">
        <f>+C20+D20</f>
        <v>25059730.27</v>
      </c>
      <c r="J20" s="28">
        <f>+I20*100/I29</f>
        <v>90.784584426304164</v>
      </c>
      <c r="K20" s="28">
        <f>+H20*J20/100</f>
        <v>15826619.670464203</v>
      </c>
      <c r="L20" s="6">
        <f>+C297*C20/C92</f>
        <v>459327.4107512561</v>
      </c>
      <c r="M20" s="6">
        <f>+D297*D20/D92</f>
        <v>187077.4644866632</v>
      </c>
      <c r="N20" s="6">
        <v>0</v>
      </c>
      <c r="O20" s="28">
        <v>0</v>
      </c>
      <c r="P20" s="45">
        <f>SUM(L20:O20)</f>
        <v>646404.87523791927</v>
      </c>
      <c r="Q20" s="403">
        <v>2052448.75</v>
      </c>
      <c r="R20" s="46">
        <f>+C20+L20</f>
        <v>11843978.020751255</v>
      </c>
      <c r="S20" s="46">
        <f>+D20+M20</f>
        <v>13862157.124486662</v>
      </c>
      <c r="T20" s="46">
        <f>+E20+N20+Q20</f>
        <v>2052448.75</v>
      </c>
      <c r="U20" s="46">
        <f>+K20</f>
        <v>15826619.670464203</v>
      </c>
      <c r="V20" s="45">
        <f t="shared" ref="V20:V25" si="17">SUM(R20:U20)</f>
        <v>43585203.565702118</v>
      </c>
      <c r="W20" s="47">
        <f t="shared" ref="W20:X25" si="18">+C465*R20/R256</f>
        <v>19744851.98321072</v>
      </c>
      <c r="X20" s="47">
        <f t="shared" si="18"/>
        <v>5937206.9153097933</v>
      </c>
      <c r="Y20" s="47">
        <v>0</v>
      </c>
      <c r="Z20" s="47">
        <f>+F465*U20/U256</f>
        <v>0</v>
      </c>
      <c r="AA20" s="45">
        <f>SUM(W20:Z20)</f>
        <v>25682058.898520514</v>
      </c>
      <c r="AB20" s="46">
        <f>+R20+W20</f>
        <v>31588830.003961973</v>
      </c>
      <c r="AC20" s="46">
        <f t="shared" ref="AC20:AE28" si="19">+S20+X20</f>
        <v>19799364.039796457</v>
      </c>
      <c r="AD20" s="46">
        <f t="shared" si="19"/>
        <v>2052448.75</v>
      </c>
      <c r="AE20" s="46">
        <f t="shared" si="19"/>
        <v>15826619.670464203</v>
      </c>
      <c r="AF20" s="28">
        <f>SUM(AB20:AE20)</f>
        <v>69267262.46422264</v>
      </c>
    </row>
    <row r="21" spans="1:32">
      <c r="B21" s="42" t="s">
        <v>210</v>
      </c>
      <c r="C21" s="6"/>
      <c r="D21" s="6"/>
      <c r="E21" s="373">
        <v>0</v>
      </c>
      <c r="F21" s="6">
        <v>0</v>
      </c>
      <c r="G21" s="374">
        <f t="shared" ref="G21:G27" si="20">SUM(C21:F21)</f>
        <v>0</v>
      </c>
      <c r="H21" s="43"/>
      <c r="I21" s="28">
        <f t="shared" ref="I21:I28" si="21">+C21+D21</f>
        <v>0</v>
      </c>
      <c r="J21" s="28">
        <f>+I21*100/I29</f>
        <v>0</v>
      </c>
      <c r="K21" s="28">
        <f>+H20*J21/100</f>
        <v>0</v>
      </c>
      <c r="L21" s="6">
        <f>+C298*C21/C93</f>
        <v>0</v>
      </c>
      <c r="M21" s="6">
        <f>+D298*D21/D93</f>
        <v>0</v>
      </c>
      <c r="N21" s="6">
        <v>0</v>
      </c>
      <c r="O21" s="28">
        <v>0</v>
      </c>
      <c r="P21" s="45">
        <f t="shared" ref="P21:P28" si="22">SUM(L21:O21)</f>
        <v>0</v>
      </c>
      <c r="Q21" s="403">
        <v>0</v>
      </c>
      <c r="R21" s="46">
        <f t="shared" ref="R21:R28" si="23">+C21+L21</f>
        <v>0</v>
      </c>
      <c r="S21" s="46">
        <f t="shared" ref="S21:S28" si="24">+D21+M21</f>
        <v>0</v>
      </c>
      <c r="T21" s="46">
        <f t="shared" ref="T21:T28" si="25">+E21+N21+Q21</f>
        <v>0</v>
      </c>
      <c r="U21" s="46">
        <f t="shared" ref="U21:U28" si="26">+K21</f>
        <v>0</v>
      </c>
      <c r="V21" s="45">
        <f t="shared" si="17"/>
        <v>0</v>
      </c>
      <c r="W21" s="47">
        <f t="shared" si="18"/>
        <v>0</v>
      </c>
      <c r="X21" s="47">
        <f t="shared" si="18"/>
        <v>0</v>
      </c>
      <c r="Y21" s="47">
        <v>0</v>
      </c>
      <c r="Z21" s="47">
        <f t="shared" ref="Z21:Z27" si="27">+F466*U21/U257</f>
        <v>0</v>
      </c>
      <c r="AA21" s="45">
        <f t="shared" ref="AA21:AA28" si="28">SUM(W21:Z21)</f>
        <v>0</v>
      </c>
      <c r="AB21" s="46">
        <f t="shared" ref="AB21:AB28" si="29">+R21+W21</f>
        <v>0</v>
      </c>
      <c r="AC21" s="46">
        <f t="shared" si="19"/>
        <v>0</v>
      </c>
      <c r="AD21" s="46">
        <f t="shared" si="19"/>
        <v>0</v>
      </c>
      <c r="AE21" s="46">
        <f t="shared" si="19"/>
        <v>0</v>
      </c>
      <c r="AF21" s="28">
        <f t="shared" ref="AF21:AF28" si="30">SUM(AB21:AE21)</f>
        <v>0</v>
      </c>
    </row>
    <row r="22" spans="1:32" ht="23.25">
      <c r="B22" s="42" t="s">
        <v>211</v>
      </c>
      <c r="C22" s="6">
        <v>291088</v>
      </c>
      <c r="D22" s="375">
        <v>0</v>
      </c>
      <c r="E22" s="375">
        <v>0</v>
      </c>
      <c r="F22" s="375">
        <v>0</v>
      </c>
      <c r="G22" s="374">
        <f t="shared" si="20"/>
        <v>291088</v>
      </c>
      <c r="H22" s="43"/>
      <c r="I22" s="28">
        <f t="shared" si="21"/>
        <v>291088</v>
      </c>
      <c r="J22" s="28">
        <f>+I22*100/I29</f>
        <v>1.054532623725803</v>
      </c>
      <c r="K22" s="28">
        <f>+H20*J22/100</f>
        <v>183838.33413208099</v>
      </c>
      <c r="L22" s="6">
        <f t="shared" ref="L22:L27" si="31">+C299*C22/C94</f>
        <v>0</v>
      </c>
      <c r="M22" s="6">
        <v>0</v>
      </c>
      <c r="N22" s="6">
        <v>0</v>
      </c>
      <c r="O22" s="28">
        <v>0</v>
      </c>
      <c r="P22" s="45">
        <f t="shared" si="22"/>
        <v>0</v>
      </c>
      <c r="Q22" s="403">
        <v>0</v>
      </c>
      <c r="R22" s="46">
        <f t="shared" si="23"/>
        <v>291088</v>
      </c>
      <c r="S22" s="46">
        <f t="shared" si="24"/>
        <v>0</v>
      </c>
      <c r="T22" s="46">
        <f t="shared" si="25"/>
        <v>0</v>
      </c>
      <c r="U22" s="46">
        <f t="shared" si="26"/>
        <v>183838.33413208099</v>
      </c>
      <c r="V22" s="45">
        <f t="shared" si="17"/>
        <v>474926.33413208101</v>
      </c>
      <c r="W22" s="47">
        <f t="shared" si="18"/>
        <v>37674.203825972239</v>
      </c>
      <c r="X22" s="47">
        <f t="shared" si="18"/>
        <v>0</v>
      </c>
      <c r="Y22" s="47">
        <v>0</v>
      </c>
      <c r="Z22" s="47">
        <f t="shared" si="27"/>
        <v>0</v>
      </c>
      <c r="AA22" s="45">
        <f t="shared" si="28"/>
        <v>37674.203825972239</v>
      </c>
      <c r="AB22" s="46">
        <f t="shared" si="29"/>
        <v>328762.20382597222</v>
      </c>
      <c r="AC22" s="46">
        <f t="shared" si="19"/>
        <v>0</v>
      </c>
      <c r="AD22" s="46">
        <f t="shared" si="19"/>
        <v>0</v>
      </c>
      <c r="AE22" s="46">
        <f t="shared" si="19"/>
        <v>183838.33413208099</v>
      </c>
      <c r="AF22" s="28">
        <f t="shared" si="30"/>
        <v>512600.53795805317</v>
      </c>
    </row>
    <row r="23" spans="1:32">
      <c r="B23" s="42" t="s">
        <v>212</v>
      </c>
      <c r="C23" s="6">
        <v>169890</v>
      </c>
      <c r="D23" s="6">
        <v>493500</v>
      </c>
      <c r="E23" s="373">
        <v>0</v>
      </c>
      <c r="F23" s="6">
        <v>0</v>
      </c>
      <c r="G23" s="374">
        <f t="shared" si="20"/>
        <v>663390</v>
      </c>
      <c r="H23" s="43"/>
      <c r="I23" s="28">
        <f t="shared" si="21"/>
        <v>663390</v>
      </c>
      <c r="J23" s="28">
        <f>+I23*100/I29</f>
        <v>2.4032814724532114</v>
      </c>
      <c r="K23" s="28">
        <f>+H20*J23/100</f>
        <v>418967.84642404079</v>
      </c>
      <c r="L23" s="6">
        <f t="shared" si="31"/>
        <v>0</v>
      </c>
      <c r="M23" s="6">
        <f>+D300*D23/D95</f>
        <v>0</v>
      </c>
      <c r="N23" s="6">
        <v>0</v>
      </c>
      <c r="O23" s="28">
        <v>0</v>
      </c>
      <c r="P23" s="45">
        <f t="shared" si="22"/>
        <v>0</v>
      </c>
      <c r="Q23" s="403">
        <v>0</v>
      </c>
      <c r="R23" s="46">
        <f t="shared" si="23"/>
        <v>169890</v>
      </c>
      <c r="S23" s="46">
        <f t="shared" si="24"/>
        <v>493500</v>
      </c>
      <c r="T23" s="46">
        <f t="shared" si="25"/>
        <v>0</v>
      </c>
      <c r="U23" s="46">
        <f t="shared" si="26"/>
        <v>418967.84642404079</v>
      </c>
      <c r="V23" s="45">
        <f t="shared" si="17"/>
        <v>1082357.8464240409</v>
      </c>
      <c r="W23" s="47">
        <f t="shared" si="18"/>
        <v>123159.02601000766</v>
      </c>
      <c r="X23" s="47">
        <f t="shared" si="18"/>
        <v>77430.290683533429</v>
      </c>
      <c r="Y23" s="47">
        <v>0</v>
      </c>
      <c r="Z23" s="47">
        <f t="shared" si="27"/>
        <v>89044.385179058852</v>
      </c>
      <c r="AA23" s="45">
        <f t="shared" si="28"/>
        <v>289633.70187259989</v>
      </c>
      <c r="AB23" s="46">
        <f t="shared" si="29"/>
        <v>293049.02601000766</v>
      </c>
      <c r="AC23" s="46">
        <f t="shared" si="19"/>
        <v>570930.29068353341</v>
      </c>
      <c r="AD23" s="46">
        <f t="shared" si="19"/>
        <v>0</v>
      </c>
      <c r="AE23" s="46">
        <f t="shared" si="19"/>
        <v>508012.23160309962</v>
      </c>
      <c r="AF23" s="28">
        <f t="shared" si="30"/>
        <v>1371991.5482966406</v>
      </c>
    </row>
    <row r="24" spans="1:32">
      <c r="B24" s="42" t="s">
        <v>213</v>
      </c>
      <c r="C24" s="6">
        <v>0</v>
      </c>
      <c r="D24" s="6">
        <v>90000</v>
      </c>
      <c r="E24" s="373">
        <v>0</v>
      </c>
      <c r="F24" s="6">
        <v>0</v>
      </c>
      <c r="G24" s="374">
        <f t="shared" si="20"/>
        <v>90000</v>
      </c>
      <c r="H24" s="43"/>
      <c r="I24" s="28">
        <f t="shared" si="21"/>
        <v>90000</v>
      </c>
      <c r="J24" s="28">
        <f>+I24*100/I29</f>
        <v>0.32604551247499819</v>
      </c>
      <c r="K24" s="28">
        <f>+H20*J24/100</f>
        <v>56840.028004889544</v>
      </c>
      <c r="L24" s="6">
        <f t="shared" si="31"/>
        <v>0</v>
      </c>
      <c r="M24" s="6">
        <f>+D301*D24/D96</f>
        <v>0</v>
      </c>
      <c r="N24" s="6">
        <v>0</v>
      </c>
      <c r="O24" s="28">
        <v>0</v>
      </c>
      <c r="P24" s="45">
        <f t="shared" si="22"/>
        <v>0</v>
      </c>
      <c r="Q24" s="403">
        <v>0</v>
      </c>
      <c r="R24" s="46">
        <f t="shared" si="23"/>
        <v>0</v>
      </c>
      <c r="S24" s="46">
        <f t="shared" si="24"/>
        <v>90000</v>
      </c>
      <c r="T24" s="46">
        <f t="shared" si="25"/>
        <v>0</v>
      </c>
      <c r="U24" s="46">
        <f t="shared" si="26"/>
        <v>56840.028004889544</v>
      </c>
      <c r="V24" s="45">
        <f t="shared" si="17"/>
        <v>146840.02800488955</v>
      </c>
      <c r="W24" s="47">
        <f t="shared" si="18"/>
        <v>0</v>
      </c>
      <c r="X24" s="47">
        <f t="shared" si="18"/>
        <v>0</v>
      </c>
      <c r="Y24" s="47">
        <v>0</v>
      </c>
      <c r="Z24" s="47">
        <f t="shared" si="27"/>
        <v>0</v>
      </c>
      <c r="AA24" s="45">
        <f t="shared" si="28"/>
        <v>0</v>
      </c>
      <c r="AB24" s="46">
        <f t="shared" si="29"/>
        <v>0</v>
      </c>
      <c r="AC24" s="46">
        <f t="shared" si="19"/>
        <v>90000</v>
      </c>
      <c r="AD24" s="46">
        <f t="shared" si="19"/>
        <v>0</v>
      </c>
      <c r="AE24" s="46">
        <f t="shared" si="19"/>
        <v>56840.028004889544</v>
      </c>
      <c r="AF24" s="28">
        <f t="shared" si="30"/>
        <v>146840.02800488955</v>
      </c>
    </row>
    <row r="25" spans="1:32">
      <c r="B25" s="42" t="s">
        <v>214</v>
      </c>
      <c r="C25" s="6">
        <v>451200</v>
      </c>
      <c r="D25" s="6">
        <v>998100</v>
      </c>
      <c r="E25" s="373">
        <v>0</v>
      </c>
      <c r="F25" s="6">
        <v>0</v>
      </c>
      <c r="G25" s="374">
        <f t="shared" si="20"/>
        <v>1449300</v>
      </c>
      <c r="H25" s="43"/>
      <c r="I25" s="28">
        <f t="shared" si="21"/>
        <v>1449300</v>
      </c>
      <c r="J25" s="28">
        <f>+I25*100/I29</f>
        <v>5.2504195692223874</v>
      </c>
      <c r="K25" s="28">
        <f>+H20*J25/100</f>
        <v>915313.91763873782</v>
      </c>
      <c r="L25" s="6">
        <f t="shared" si="31"/>
        <v>0</v>
      </c>
      <c r="M25" s="6">
        <f>+D302*D25/D97</f>
        <v>0</v>
      </c>
      <c r="N25" s="6">
        <v>0</v>
      </c>
      <c r="O25" s="28">
        <v>0</v>
      </c>
      <c r="P25" s="45">
        <f t="shared" si="22"/>
        <v>0</v>
      </c>
      <c r="Q25" s="403">
        <v>0</v>
      </c>
      <c r="R25" s="46">
        <f t="shared" si="23"/>
        <v>451200</v>
      </c>
      <c r="S25" s="46">
        <f t="shared" si="24"/>
        <v>998100</v>
      </c>
      <c r="T25" s="46">
        <f t="shared" si="25"/>
        <v>0</v>
      </c>
      <c r="U25" s="46">
        <f t="shared" si="26"/>
        <v>915313.91763873782</v>
      </c>
      <c r="V25" s="45">
        <f t="shared" si="17"/>
        <v>2364613.9176387377</v>
      </c>
      <c r="W25" s="47">
        <f t="shared" si="18"/>
        <v>0</v>
      </c>
      <c r="X25" s="47">
        <f t="shared" si="18"/>
        <v>0</v>
      </c>
      <c r="Y25" s="47">
        <v>0</v>
      </c>
      <c r="Z25" s="47">
        <f t="shared" si="27"/>
        <v>0</v>
      </c>
      <c r="AA25" s="45">
        <f t="shared" si="28"/>
        <v>0</v>
      </c>
      <c r="AB25" s="46">
        <f t="shared" si="29"/>
        <v>451200</v>
      </c>
      <c r="AC25" s="46">
        <f t="shared" si="19"/>
        <v>998100</v>
      </c>
      <c r="AD25" s="46">
        <f t="shared" si="19"/>
        <v>0</v>
      </c>
      <c r="AE25" s="46">
        <f t="shared" si="19"/>
        <v>915313.91763873782</v>
      </c>
      <c r="AF25" s="28">
        <f t="shared" si="30"/>
        <v>2364613.9176387377</v>
      </c>
    </row>
    <row r="26" spans="1:32">
      <c r="B26" s="50" t="s">
        <v>437</v>
      </c>
      <c r="C26" s="28">
        <v>0</v>
      </c>
      <c r="D26" s="28">
        <v>0</v>
      </c>
      <c r="E26" s="40">
        <v>0</v>
      </c>
      <c r="F26" s="28">
        <v>0</v>
      </c>
      <c r="G26" s="374">
        <f t="shared" si="20"/>
        <v>0</v>
      </c>
      <c r="H26" s="43"/>
      <c r="I26" s="28">
        <f t="shared" si="21"/>
        <v>0</v>
      </c>
      <c r="J26" s="28">
        <f>+I26*100/I29</f>
        <v>0</v>
      </c>
      <c r="K26" s="28">
        <f>+H20*J26/100</f>
        <v>0</v>
      </c>
      <c r="L26" s="6">
        <v>0</v>
      </c>
      <c r="M26" s="6">
        <v>0</v>
      </c>
      <c r="N26" s="6">
        <v>0</v>
      </c>
      <c r="O26" s="28">
        <v>0</v>
      </c>
      <c r="P26" s="45">
        <f t="shared" si="22"/>
        <v>0</v>
      </c>
      <c r="Q26" s="403">
        <v>0</v>
      </c>
      <c r="R26" s="46">
        <f t="shared" si="23"/>
        <v>0</v>
      </c>
      <c r="S26" s="46">
        <f t="shared" si="24"/>
        <v>0</v>
      </c>
      <c r="T26" s="46">
        <f t="shared" si="25"/>
        <v>0</v>
      </c>
      <c r="U26" s="46">
        <f t="shared" si="26"/>
        <v>0</v>
      </c>
      <c r="V26" s="45">
        <f t="shared" ref="V26:V28" si="32">SUM(R26:U26)</f>
        <v>0</v>
      </c>
      <c r="W26" s="47">
        <f>+C471*R26/R262</f>
        <v>0</v>
      </c>
      <c r="X26" s="47">
        <v>0</v>
      </c>
      <c r="Y26" s="47">
        <v>0</v>
      </c>
      <c r="Z26" s="47">
        <v>0</v>
      </c>
      <c r="AA26" s="45">
        <f t="shared" si="28"/>
        <v>0</v>
      </c>
      <c r="AB26" s="46">
        <f t="shared" si="29"/>
        <v>0</v>
      </c>
      <c r="AC26" s="46">
        <f t="shared" si="19"/>
        <v>0</v>
      </c>
      <c r="AD26" s="46">
        <f t="shared" si="19"/>
        <v>0</v>
      </c>
      <c r="AE26" s="46">
        <f t="shared" si="19"/>
        <v>0</v>
      </c>
      <c r="AF26" s="28">
        <f t="shared" si="30"/>
        <v>0</v>
      </c>
    </row>
    <row r="27" spans="1:32">
      <c r="B27" s="50" t="s">
        <v>219</v>
      </c>
      <c r="C27" s="28">
        <v>50000</v>
      </c>
      <c r="D27" s="28">
        <v>0</v>
      </c>
      <c r="E27" s="40">
        <v>0</v>
      </c>
      <c r="F27" s="28">
        <v>0</v>
      </c>
      <c r="G27" s="374">
        <f t="shared" si="20"/>
        <v>50000</v>
      </c>
      <c r="H27" s="43"/>
      <c r="I27" s="28">
        <f t="shared" si="21"/>
        <v>50000</v>
      </c>
      <c r="J27" s="28">
        <f>+I27*100/I29</f>
        <v>0.18113639581944344</v>
      </c>
      <c r="K27" s="28">
        <f>+H20*J27/100</f>
        <v>31577.793336049748</v>
      </c>
      <c r="L27" s="6">
        <f t="shared" si="31"/>
        <v>0</v>
      </c>
      <c r="M27" s="6">
        <v>0</v>
      </c>
      <c r="N27" s="6">
        <v>0</v>
      </c>
      <c r="O27" s="28">
        <v>0</v>
      </c>
      <c r="P27" s="45">
        <f t="shared" si="22"/>
        <v>0</v>
      </c>
      <c r="Q27" s="403">
        <v>0</v>
      </c>
      <c r="R27" s="46">
        <f t="shared" si="23"/>
        <v>50000</v>
      </c>
      <c r="S27" s="46">
        <f t="shared" si="24"/>
        <v>0</v>
      </c>
      <c r="T27" s="46">
        <f t="shared" si="25"/>
        <v>0</v>
      </c>
      <c r="U27" s="46">
        <f t="shared" si="26"/>
        <v>31577.793336049748</v>
      </c>
      <c r="V27" s="45">
        <f>SUM(R27:U27)</f>
        <v>81577.793336049741</v>
      </c>
      <c r="W27" s="47">
        <f>+C472*R27/R263</f>
        <v>40817.636665209953</v>
      </c>
      <c r="X27" s="47">
        <v>0</v>
      </c>
      <c r="Y27" s="47">
        <v>0</v>
      </c>
      <c r="Z27" s="47">
        <f t="shared" si="27"/>
        <v>6096.7311453654092</v>
      </c>
      <c r="AA27" s="45">
        <f t="shared" si="28"/>
        <v>46914.367810575364</v>
      </c>
      <c r="AB27" s="46">
        <f t="shared" si="29"/>
        <v>90817.636665209953</v>
      </c>
      <c r="AC27" s="46">
        <f t="shared" si="19"/>
        <v>0</v>
      </c>
      <c r="AD27" s="46">
        <f t="shared" si="19"/>
        <v>0</v>
      </c>
      <c r="AE27" s="46">
        <f t="shared" si="19"/>
        <v>37674.524481415159</v>
      </c>
      <c r="AF27" s="28">
        <f t="shared" si="30"/>
        <v>128492.16114662512</v>
      </c>
    </row>
    <row r="28" spans="1:32">
      <c r="B28" s="42" t="s">
        <v>216</v>
      </c>
      <c r="C28" s="28">
        <v>0</v>
      </c>
      <c r="D28" s="28">
        <v>0</v>
      </c>
      <c r="E28" s="40">
        <v>0</v>
      </c>
      <c r="F28" s="28">
        <v>0</v>
      </c>
      <c r="G28" s="374">
        <f>SUM(C28:F28)</f>
        <v>0</v>
      </c>
      <c r="H28" s="43"/>
      <c r="I28" s="28">
        <f t="shared" si="21"/>
        <v>0</v>
      </c>
      <c r="J28" s="44"/>
      <c r="K28" s="44"/>
      <c r="L28" s="6">
        <v>0</v>
      </c>
      <c r="M28" s="28">
        <v>0</v>
      </c>
      <c r="N28" s="28"/>
      <c r="O28" s="28">
        <v>0</v>
      </c>
      <c r="P28" s="45">
        <f t="shared" si="22"/>
        <v>0</v>
      </c>
      <c r="Q28" s="403">
        <v>0</v>
      </c>
      <c r="R28" s="46">
        <f t="shared" si="23"/>
        <v>0</v>
      </c>
      <c r="S28" s="46">
        <f t="shared" si="24"/>
        <v>0</v>
      </c>
      <c r="T28" s="46">
        <f t="shared" si="25"/>
        <v>0</v>
      </c>
      <c r="U28" s="46">
        <f t="shared" si="26"/>
        <v>0</v>
      </c>
      <c r="V28" s="45">
        <f t="shared" si="32"/>
        <v>0</v>
      </c>
      <c r="W28" s="47">
        <v>0</v>
      </c>
      <c r="X28" s="47">
        <v>0</v>
      </c>
      <c r="Y28" s="47">
        <v>0</v>
      </c>
      <c r="Z28" s="47">
        <v>0</v>
      </c>
      <c r="AA28" s="45">
        <f t="shared" si="28"/>
        <v>0</v>
      </c>
      <c r="AB28" s="46">
        <f t="shared" si="29"/>
        <v>0</v>
      </c>
      <c r="AC28" s="46">
        <f t="shared" si="19"/>
        <v>0</v>
      </c>
      <c r="AD28" s="46">
        <f t="shared" si="19"/>
        <v>0</v>
      </c>
      <c r="AE28" s="46">
        <f t="shared" si="19"/>
        <v>0</v>
      </c>
      <c r="AF28" s="28">
        <f t="shared" si="30"/>
        <v>0</v>
      </c>
    </row>
    <row r="29" spans="1:32">
      <c r="B29" s="42"/>
      <c r="C29" s="28">
        <f>SUM(C20:C28)</f>
        <v>12346828.609999999</v>
      </c>
      <c r="D29" s="28">
        <f>SUM(D20:D28)</f>
        <v>15256679.66</v>
      </c>
      <c r="E29" s="28">
        <f t="shared" ref="E29:F29" si="33">SUM(E20:E28)</f>
        <v>0</v>
      </c>
      <c r="F29" s="28">
        <f t="shared" si="33"/>
        <v>17433157.59</v>
      </c>
      <c r="G29" s="45">
        <f>SUM(G20:G28)</f>
        <v>45036665.859999999</v>
      </c>
      <c r="H29" s="43"/>
      <c r="I29" s="28">
        <f t="shared" ref="I29:Z29" si="34">SUM(I20:I28)</f>
        <v>27603508.27</v>
      </c>
      <c r="J29" s="28">
        <f t="shared" si="34"/>
        <v>100.00000000000003</v>
      </c>
      <c r="K29" s="28">
        <f t="shared" si="34"/>
        <v>17433157.590000004</v>
      </c>
      <c r="L29" s="28">
        <f t="shared" si="34"/>
        <v>459327.4107512561</v>
      </c>
      <c r="M29" s="28">
        <f t="shared" si="34"/>
        <v>187077.4644866632</v>
      </c>
      <c r="N29" s="28">
        <f t="shared" si="34"/>
        <v>0</v>
      </c>
      <c r="O29" s="28">
        <f t="shared" si="34"/>
        <v>0</v>
      </c>
      <c r="P29" s="28">
        <f t="shared" si="34"/>
        <v>646404.87523791927</v>
      </c>
      <c r="Q29" s="404">
        <f>SUM(Q20:Q28)</f>
        <v>2052448.75</v>
      </c>
      <c r="R29" s="46">
        <f t="shared" si="34"/>
        <v>12806156.020751255</v>
      </c>
      <c r="S29" s="46">
        <f t="shared" si="34"/>
        <v>15443757.124486662</v>
      </c>
      <c r="T29" s="46">
        <f t="shared" si="34"/>
        <v>2052448.75</v>
      </c>
      <c r="U29" s="46">
        <f t="shared" ref="U29" si="35">+K29+O29</f>
        <v>17433157.590000004</v>
      </c>
      <c r="V29" s="51">
        <f t="shared" si="34"/>
        <v>47735519.485237926</v>
      </c>
      <c r="W29" s="46">
        <f t="shared" si="34"/>
        <v>19946502.84971191</v>
      </c>
      <c r="X29" s="28">
        <f t="shared" si="34"/>
        <v>6014637.2059933264</v>
      </c>
      <c r="Y29" s="28">
        <f t="shared" si="34"/>
        <v>0</v>
      </c>
      <c r="Z29" s="28">
        <f t="shared" si="34"/>
        <v>95141.116324424263</v>
      </c>
      <c r="AA29" s="45">
        <f>SUM(W29:Z29)</f>
        <v>26056281.172029659</v>
      </c>
      <c r="AB29" s="46">
        <f>SUM(AB20:AB28)</f>
        <v>32752658.870463163</v>
      </c>
      <c r="AC29" s="46">
        <f t="shared" ref="AC29:AF29" si="36">SUM(AC20:AC28)</f>
        <v>21458394.330479991</v>
      </c>
      <c r="AD29" s="46">
        <f t="shared" si="36"/>
        <v>2052448.75</v>
      </c>
      <c r="AE29" s="46">
        <f t="shared" si="36"/>
        <v>17528298.706324428</v>
      </c>
      <c r="AF29" s="46">
        <f t="shared" si="36"/>
        <v>73791800.657267585</v>
      </c>
    </row>
    <row r="30" spans="1:32" ht="21.75" customHeight="1">
      <c r="B30" s="58"/>
      <c r="C30" s="27">
        <f>27267395.66-14920567.05</f>
        <v>12346828.609999999</v>
      </c>
      <c r="D30" s="27">
        <f>17769270.2-2512590.54</f>
        <v>15256679.66</v>
      </c>
      <c r="E30" s="59">
        <v>0</v>
      </c>
      <c r="F30" s="27">
        <f>14920567.05+2512590.54</f>
        <v>17433157.59</v>
      </c>
      <c r="G30" s="29">
        <f>SUM(C30:F30)</f>
        <v>45036665.859999999</v>
      </c>
      <c r="R30" s="27"/>
      <c r="S30" s="27"/>
      <c r="T30" s="27"/>
      <c r="U30" s="27"/>
      <c r="V30" s="29"/>
    </row>
    <row r="31" spans="1:32">
      <c r="A31" s="389" t="s">
        <v>217</v>
      </c>
      <c r="B31" s="636" t="s">
        <v>220</v>
      </c>
      <c r="C31" s="636"/>
      <c r="D31" s="636"/>
      <c r="E31" s="636"/>
      <c r="F31" s="636"/>
      <c r="G31" s="636"/>
      <c r="R31" s="27"/>
      <c r="S31" s="27"/>
      <c r="T31" s="27"/>
      <c r="U31" s="27"/>
      <c r="V31" s="29"/>
    </row>
    <row r="32" spans="1:32">
      <c r="B32" s="55" t="s">
        <v>9</v>
      </c>
      <c r="C32" s="40" t="s">
        <v>206</v>
      </c>
      <c r="D32" s="40" t="s">
        <v>207</v>
      </c>
      <c r="E32" s="40" t="s">
        <v>10</v>
      </c>
      <c r="F32" s="40" t="s">
        <v>11</v>
      </c>
      <c r="G32" s="48" t="s">
        <v>208</v>
      </c>
      <c r="H32" s="43"/>
      <c r="I32" s="44"/>
      <c r="J32" s="44"/>
      <c r="K32" s="44"/>
      <c r="L32" s="28"/>
      <c r="M32" s="28"/>
      <c r="N32" s="28"/>
      <c r="O32" s="28"/>
      <c r="P32" s="45"/>
      <c r="Q32" s="403"/>
      <c r="R32" s="46"/>
      <c r="S32" s="28"/>
      <c r="T32" s="28"/>
      <c r="U32" s="28"/>
      <c r="V32" s="45"/>
      <c r="W32" s="56"/>
      <c r="X32" s="44"/>
      <c r="Y32" s="44"/>
      <c r="Z32" s="44"/>
      <c r="AA32" s="57"/>
      <c r="AB32" s="56"/>
      <c r="AC32" s="44"/>
      <c r="AD32" s="44"/>
      <c r="AE32" s="44"/>
      <c r="AF32" s="44"/>
    </row>
    <row r="33" spans="1:32">
      <c r="B33" s="42" t="s">
        <v>209</v>
      </c>
      <c r="C33" s="6">
        <f>9856840.37+9224416.73</f>
        <v>19081257.100000001</v>
      </c>
      <c r="D33" s="6">
        <f>5896345.34+5388784.47</f>
        <v>11285129.809999999</v>
      </c>
      <c r="E33" s="373">
        <v>0</v>
      </c>
      <c r="F33" s="6">
        <v>13293585.77</v>
      </c>
      <c r="G33" s="374">
        <f>SUM(C33:F33)</f>
        <v>43659972.68</v>
      </c>
      <c r="H33" s="43">
        <f>+F42</f>
        <v>13293585.77</v>
      </c>
      <c r="I33" s="28">
        <f>+C33+D33</f>
        <v>30366386.91</v>
      </c>
      <c r="J33" s="28">
        <f>+I33*100/I42</f>
        <v>88.19626043262447</v>
      </c>
      <c r="K33" s="28">
        <f>+H33*J33/100</f>
        <v>11724445.526543507</v>
      </c>
      <c r="L33" s="6">
        <f>+C297*C33/C92</f>
        <v>769856.24924874376</v>
      </c>
      <c r="M33" s="6">
        <f>+D297*D33/D92</f>
        <v>154382.53551333677</v>
      </c>
      <c r="N33" s="6">
        <v>0</v>
      </c>
      <c r="O33" s="28">
        <v>0</v>
      </c>
      <c r="P33" s="45">
        <f>SUM(L33:O33)</f>
        <v>924238.78476208053</v>
      </c>
      <c r="Q33" s="403">
        <v>1013921.96</v>
      </c>
      <c r="R33" s="46">
        <f>+C33+L33</f>
        <v>19851113.349248745</v>
      </c>
      <c r="S33" s="46">
        <f t="shared" ref="S33:S41" si="37">+D33+M33</f>
        <v>11439512.345513336</v>
      </c>
      <c r="T33" s="46">
        <f>+E33+N33+Q33</f>
        <v>1013921.96</v>
      </c>
      <c r="U33" s="46">
        <f>+K33</f>
        <v>11724445.526543507</v>
      </c>
      <c r="V33" s="45">
        <f>SUM(R33:U33)</f>
        <v>44028993.181305587</v>
      </c>
      <c r="W33" s="47">
        <f t="shared" ref="W33:X38" si="38">+C465*R33/R256</f>
        <v>33093382.484848056</v>
      </c>
      <c r="X33" s="47">
        <f t="shared" si="38"/>
        <v>4899580.2886680001</v>
      </c>
      <c r="Y33" s="47">
        <v>0</v>
      </c>
      <c r="Z33" s="47">
        <f>+F465*U33/U256</f>
        <v>0</v>
      </c>
      <c r="AA33" s="45">
        <f>SUM(W33:Z33)</f>
        <v>37992962.773516059</v>
      </c>
      <c r="AB33" s="46">
        <f>+R33+W33</f>
        <v>52944495.834096804</v>
      </c>
      <c r="AC33" s="46">
        <f t="shared" ref="AC33:AE41" si="39">+S33+X33</f>
        <v>16339092.634181336</v>
      </c>
      <c r="AD33" s="46">
        <f t="shared" si="39"/>
        <v>1013921.96</v>
      </c>
      <c r="AE33" s="46">
        <f t="shared" si="39"/>
        <v>11724445.526543507</v>
      </c>
      <c r="AF33" s="28">
        <f>SUM(AB33:AE33)</f>
        <v>82021955.954821646</v>
      </c>
    </row>
    <row r="34" spans="1:32">
      <c r="B34" s="42" t="s">
        <v>210</v>
      </c>
      <c r="C34" s="6"/>
      <c r="D34" s="6"/>
      <c r="E34" s="373">
        <v>0</v>
      </c>
      <c r="F34" s="6">
        <v>0</v>
      </c>
      <c r="G34" s="374">
        <f t="shared" ref="G34:G41" si="40">SUM(C34:F34)</f>
        <v>0</v>
      </c>
      <c r="H34" s="43"/>
      <c r="I34" s="28">
        <f t="shared" ref="I34:I41" si="41">+C34+D34</f>
        <v>0</v>
      </c>
      <c r="J34" s="28">
        <f>+I34*100/I42</f>
        <v>0</v>
      </c>
      <c r="K34" s="28">
        <f>+H33*J34/100</f>
        <v>0</v>
      </c>
      <c r="L34" s="6">
        <f>+C298*C34/C93</f>
        <v>0</v>
      </c>
      <c r="M34" s="6">
        <f>+D298*D34/D93</f>
        <v>0</v>
      </c>
      <c r="N34" s="6">
        <v>0</v>
      </c>
      <c r="O34" s="28">
        <v>0</v>
      </c>
      <c r="P34" s="45">
        <f t="shared" ref="P34:P41" si="42">SUM(L34:O34)</f>
        <v>0</v>
      </c>
      <c r="Q34" s="403"/>
      <c r="R34" s="46">
        <f t="shared" ref="R34:R41" si="43">+C34+L34</f>
        <v>0</v>
      </c>
      <c r="S34" s="46">
        <f t="shared" si="37"/>
        <v>0</v>
      </c>
      <c r="T34" s="46">
        <f t="shared" ref="T34:T41" si="44">+E34+N34+Q34</f>
        <v>0</v>
      </c>
      <c r="U34" s="46">
        <f t="shared" ref="U34:U41" si="45">+K34</f>
        <v>0</v>
      </c>
      <c r="V34" s="45">
        <f t="shared" ref="V34" si="46">SUM(R34:U34)</f>
        <v>0</v>
      </c>
      <c r="W34" s="47">
        <f t="shared" si="38"/>
        <v>0</v>
      </c>
      <c r="X34" s="47">
        <f t="shared" si="38"/>
        <v>0</v>
      </c>
      <c r="Y34" s="47">
        <v>0</v>
      </c>
      <c r="Z34" s="47">
        <f t="shared" ref="Z34:Z40" si="47">+F466*U34/U257</f>
        <v>0</v>
      </c>
      <c r="AA34" s="45">
        <f t="shared" ref="AA34:AA41" si="48">SUM(W34:Z34)</f>
        <v>0</v>
      </c>
      <c r="AB34" s="46">
        <f t="shared" ref="AB34:AB41" si="49">+R34+W34</f>
        <v>0</v>
      </c>
      <c r="AC34" s="46">
        <f t="shared" si="39"/>
        <v>0</v>
      </c>
      <c r="AD34" s="46">
        <f t="shared" si="39"/>
        <v>0</v>
      </c>
      <c r="AE34" s="46">
        <f t="shared" si="39"/>
        <v>0</v>
      </c>
      <c r="AF34" s="28">
        <f t="shared" ref="AF34:AF41" si="50">SUM(AB34:AE34)</f>
        <v>0</v>
      </c>
    </row>
    <row r="35" spans="1:32" ht="23.25">
      <c r="B35" s="42" t="s">
        <v>211</v>
      </c>
      <c r="C35" s="6">
        <v>140500</v>
      </c>
      <c r="D35" s="375">
        <v>0</v>
      </c>
      <c r="E35" s="375">
        <v>0</v>
      </c>
      <c r="F35" s="375">
        <v>0</v>
      </c>
      <c r="G35" s="374">
        <f t="shared" si="40"/>
        <v>140500</v>
      </c>
      <c r="H35" s="43"/>
      <c r="I35" s="28">
        <f t="shared" si="41"/>
        <v>140500</v>
      </c>
      <c r="J35" s="28">
        <f>+I35*100/I42</f>
        <v>0.40806878432755034</v>
      </c>
      <c r="K35" s="28">
        <f>+H33*J35/100</f>
        <v>54246.973845179222</v>
      </c>
      <c r="L35" s="6">
        <f t="shared" ref="L35:L40" si="51">+C299*C35/C94</f>
        <v>0</v>
      </c>
      <c r="M35" s="6">
        <v>0</v>
      </c>
      <c r="N35" s="6">
        <v>0</v>
      </c>
      <c r="O35" s="28">
        <v>0</v>
      </c>
      <c r="P35" s="45">
        <f t="shared" si="42"/>
        <v>0</v>
      </c>
      <c r="Q35" s="403"/>
      <c r="R35" s="46">
        <f t="shared" si="43"/>
        <v>140500</v>
      </c>
      <c r="S35" s="46">
        <f t="shared" si="37"/>
        <v>0</v>
      </c>
      <c r="T35" s="46">
        <f t="shared" si="44"/>
        <v>0</v>
      </c>
      <c r="U35" s="46">
        <f t="shared" si="45"/>
        <v>54246.973845179222</v>
      </c>
      <c r="V35" s="45">
        <f t="shared" ref="V35:V41" si="52">SUM(R35:U35)</f>
        <v>194746.97384517922</v>
      </c>
      <c r="W35" s="47">
        <f t="shared" si="38"/>
        <v>18184.279796999876</v>
      </c>
      <c r="X35" s="47">
        <f t="shared" si="38"/>
        <v>0</v>
      </c>
      <c r="Y35" s="47">
        <v>0</v>
      </c>
      <c r="Z35" s="47">
        <f t="shared" si="47"/>
        <v>0</v>
      </c>
      <c r="AA35" s="45">
        <f t="shared" si="48"/>
        <v>18184.279796999876</v>
      </c>
      <c r="AB35" s="46">
        <f t="shared" si="49"/>
        <v>158684.27979699988</v>
      </c>
      <c r="AC35" s="46">
        <f t="shared" si="39"/>
        <v>0</v>
      </c>
      <c r="AD35" s="46">
        <f t="shared" si="39"/>
        <v>0</v>
      </c>
      <c r="AE35" s="46">
        <f t="shared" si="39"/>
        <v>54246.973845179222</v>
      </c>
      <c r="AF35" s="28">
        <f t="shared" si="50"/>
        <v>212931.2536421791</v>
      </c>
    </row>
    <row r="36" spans="1:32">
      <c r="B36" s="42" t="s">
        <v>212</v>
      </c>
      <c r="C36" s="6">
        <v>329000</v>
      </c>
      <c r="D36" s="6">
        <v>188000</v>
      </c>
      <c r="E36" s="373">
        <v>0</v>
      </c>
      <c r="F36" s="6">
        <v>0</v>
      </c>
      <c r="G36" s="374">
        <f t="shared" si="40"/>
        <v>517000</v>
      </c>
      <c r="H36" s="43"/>
      <c r="I36" s="28">
        <f t="shared" si="41"/>
        <v>517000</v>
      </c>
      <c r="J36" s="28">
        <f>+I36*100/I42</f>
        <v>1.5015769501590286</v>
      </c>
      <c r="K36" s="28">
        <f>+H33*J36/100</f>
        <v>199613.41977194059</v>
      </c>
      <c r="L36" s="6">
        <f t="shared" si="51"/>
        <v>0</v>
      </c>
      <c r="M36" s="6">
        <f>+D300*D36/D95</f>
        <v>0</v>
      </c>
      <c r="N36" s="6">
        <v>0</v>
      </c>
      <c r="O36" s="28">
        <v>0</v>
      </c>
      <c r="P36" s="45">
        <f t="shared" si="42"/>
        <v>0</v>
      </c>
      <c r="Q36" s="403"/>
      <c r="R36" s="46">
        <f t="shared" si="43"/>
        <v>329000</v>
      </c>
      <c r="S36" s="46">
        <f t="shared" si="37"/>
        <v>188000</v>
      </c>
      <c r="T36" s="46">
        <f t="shared" si="44"/>
        <v>0</v>
      </c>
      <c r="U36" s="46">
        <f t="shared" si="45"/>
        <v>199613.41977194059</v>
      </c>
      <c r="V36" s="45">
        <f t="shared" si="52"/>
        <v>716613.41977194056</v>
      </c>
      <c r="W36" s="47">
        <f t="shared" si="38"/>
        <v>238503.26421385907</v>
      </c>
      <c r="X36" s="47">
        <f t="shared" si="38"/>
        <v>29497.253593727019</v>
      </c>
      <c r="Y36" s="47">
        <v>0</v>
      </c>
      <c r="Z36" s="47">
        <f t="shared" si="47"/>
        <v>42424.387429225702</v>
      </c>
      <c r="AA36" s="45">
        <f t="shared" si="48"/>
        <v>310424.90523681184</v>
      </c>
      <c r="AB36" s="46">
        <f t="shared" si="49"/>
        <v>567503.2642138591</v>
      </c>
      <c r="AC36" s="46">
        <f t="shared" si="39"/>
        <v>217497.25359372701</v>
      </c>
      <c r="AD36" s="46">
        <f t="shared" si="39"/>
        <v>0</v>
      </c>
      <c r="AE36" s="46">
        <f t="shared" si="39"/>
        <v>242037.80720116629</v>
      </c>
      <c r="AF36" s="28">
        <f t="shared" si="50"/>
        <v>1027038.3250087524</v>
      </c>
    </row>
    <row r="37" spans="1:32">
      <c r="B37" s="42" t="s">
        <v>213</v>
      </c>
      <c r="C37" s="6">
        <v>960800</v>
      </c>
      <c r="D37" s="6">
        <v>70000</v>
      </c>
      <c r="E37" s="373">
        <v>0</v>
      </c>
      <c r="F37" s="6">
        <v>0</v>
      </c>
      <c r="G37" s="374">
        <f t="shared" si="40"/>
        <v>1030800</v>
      </c>
      <c r="H37" s="43"/>
      <c r="I37" s="28">
        <f t="shared" si="41"/>
        <v>1030800</v>
      </c>
      <c r="J37" s="28">
        <f>+I37*100/I42</f>
        <v>2.9938598070095295</v>
      </c>
      <c r="K37" s="28">
        <f>+H33*J37/100</f>
        <v>397991.32127836824</v>
      </c>
      <c r="L37" s="6">
        <f t="shared" si="51"/>
        <v>0</v>
      </c>
      <c r="M37" s="6">
        <f>+D301*D37/D96</f>
        <v>0</v>
      </c>
      <c r="N37" s="6">
        <v>0</v>
      </c>
      <c r="O37" s="28">
        <v>0</v>
      </c>
      <c r="P37" s="45">
        <f t="shared" si="42"/>
        <v>0</v>
      </c>
      <c r="Q37" s="403"/>
      <c r="R37" s="46">
        <f t="shared" si="43"/>
        <v>960800</v>
      </c>
      <c r="S37" s="46">
        <f t="shared" si="37"/>
        <v>70000</v>
      </c>
      <c r="T37" s="46">
        <f t="shared" si="44"/>
        <v>0</v>
      </c>
      <c r="U37" s="46">
        <f t="shared" si="45"/>
        <v>397991.32127836824</v>
      </c>
      <c r="V37" s="45">
        <f t="shared" si="52"/>
        <v>1428791.3212783681</v>
      </c>
      <c r="W37" s="47">
        <f t="shared" si="38"/>
        <v>0</v>
      </c>
      <c r="X37" s="47">
        <f t="shared" si="38"/>
        <v>0</v>
      </c>
      <c r="Y37" s="47">
        <v>0</v>
      </c>
      <c r="Z37" s="47">
        <f t="shared" si="47"/>
        <v>0</v>
      </c>
      <c r="AA37" s="45">
        <f t="shared" si="48"/>
        <v>0</v>
      </c>
      <c r="AB37" s="46">
        <f t="shared" si="49"/>
        <v>960800</v>
      </c>
      <c r="AC37" s="46">
        <f t="shared" si="39"/>
        <v>70000</v>
      </c>
      <c r="AD37" s="46">
        <f t="shared" si="39"/>
        <v>0</v>
      </c>
      <c r="AE37" s="46">
        <f t="shared" si="39"/>
        <v>397991.32127836824</v>
      </c>
      <c r="AF37" s="28">
        <f t="shared" si="50"/>
        <v>1428791.3212783681</v>
      </c>
    </row>
    <row r="38" spans="1:32">
      <c r="B38" s="42" t="s">
        <v>214</v>
      </c>
      <c r="C38" s="6">
        <v>1564900</v>
      </c>
      <c r="D38" s="6">
        <v>256600</v>
      </c>
      <c r="E38" s="373">
        <v>0</v>
      </c>
      <c r="F38" s="6">
        <v>0</v>
      </c>
      <c r="G38" s="374">
        <f t="shared" si="40"/>
        <v>1821500</v>
      </c>
      <c r="H38" s="43"/>
      <c r="I38" s="28">
        <f t="shared" si="41"/>
        <v>1821500</v>
      </c>
      <c r="J38" s="28">
        <f>+I38*100/I42</f>
        <v>5.2903721754635793</v>
      </c>
      <c r="K38" s="28">
        <f>+H33*J38/100</f>
        <v>703280.16269746574</v>
      </c>
      <c r="L38" s="6">
        <f t="shared" si="51"/>
        <v>0</v>
      </c>
      <c r="M38" s="6">
        <f>+D302*D38/D97</f>
        <v>0</v>
      </c>
      <c r="N38" s="6">
        <v>0</v>
      </c>
      <c r="O38" s="28">
        <v>0</v>
      </c>
      <c r="P38" s="45">
        <f t="shared" si="42"/>
        <v>0</v>
      </c>
      <c r="Q38" s="403"/>
      <c r="R38" s="46">
        <f t="shared" si="43"/>
        <v>1564900</v>
      </c>
      <c r="S38" s="46">
        <f t="shared" si="37"/>
        <v>256600</v>
      </c>
      <c r="T38" s="46">
        <f t="shared" si="44"/>
        <v>0</v>
      </c>
      <c r="U38" s="46">
        <f t="shared" si="45"/>
        <v>703280.16269746574</v>
      </c>
      <c r="V38" s="45">
        <f t="shared" si="52"/>
        <v>2524780.1626974656</v>
      </c>
      <c r="W38" s="47">
        <f t="shared" si="38"/>
        <v>0</v>
      </c>
      <c r="X38" s="47">
        <f t="shared" si="38"/>
        <v>0</v>
      </c>
      <c r="Y38" s="47">
        <v>0</v>
      </c>
      <c r="Z38" s="47">
        <f t="shared" si="47"/>
        <v>0</v>
      </c>
      <c r="AA38" s="45">
        <f t="shared" si="48"/>
        <v>0</v>
      </c>
      <c r="AB38" s="46">
        <f t="shared" si="49"/>
        <v>1564900</v>
      </c>
      <c r="AC38" s="46">
        <f t="shared" si="39"/>
        <v>256600</v>
      </c>
      <c r="AD38" s="46">
        <f t="shared" si="39"/>
        <v>0</v>
      </c>
      <c r="AE38" s="46">
        <f t="shared" si="39"/>
        <v>703280.16269746574</v>
      </c>
      <c r="AF38" s="28">
        <f t="shared" si="50"/>
        <v>2524780.1626974656</v>
      </c>
    </row>
    <row r="39" spans="1:32">
      <c r="B39" s="50" t="s">
        <v>437</v>
      </c>
      <c r="C39" s="28">
        <v>0</v>
      </c>
      <c r="D39" s="28">
        <v>0</v>
      </c>
      <c r="E39" s="40">
        <v>0</v>
      </c>
      <c r="F39" s="28">
        <v>0</v>
      </c>
      <c r="G39" s="374">
        <f t="shared" si="40"/>
        <v>0</v>
      </c>
      <c r="H39" s="43"/>
      <c r="I39" s="28">
        <f t="shared" si="41"/>
        <v>0</v>
      </c>
      <c r="J39" s="28">
        <f>+I39*100/I42</f>
        <v>0</v>
      </c>
      <c r="K39" s="28">
        <f>+H33*J39/100</f>
        <v>0</v>
      </c>
      <c r="L39" s="6">
        <v>0</v>
      </c>
      <c r="M39" s="6">
        <v>0</v>
      </c>
      <c r="N39" s="6">
        <v>0</v>
      </c>
      <c r="O39" s="28">
        <v>0</v>
      </c>
      <c r="P39" s="45">
        <f t="shared" si="42"/>
        <v>0</v>
      </c>
      <c r="Q39" s="403"/>
      <c r="R39" s="46">
        <f t="shared" si="43"/>
        <v>0</v>
      </c>
      <c r="S39" s="46">
        <f t="shared" si="37"/>
        <v>0</v>
      </c>
      <c r="T39" s="46">
        <f t="shared" si="44"/>
        <v>0</v>
      </c>
      <c r="U39" s="46">
        <f t="shared" si="45"/>
        <v>0</v>
      </c>
      <c r="V39" s="45">
        <f t="shared" si="52"/>
        <v>0</v>
      </c>
      <c r="W39" s="47">
        <f>+C471*R39/R262</f>
        <v>0</v>
      </c>
      <c r="X39" s="47">
        <v>0</v>
      </c>
      <c r="Y39" s="47">
        <v>0</v>
      </c>
      <c r="Z39" s="47">
        <v>0</v>
      </c>
      <c r="AA39" s="45">
        <f t="shared" si="48"/>
        <v>0</v>
      </c>
      <c r="AB39" s="46">
        <f t="shared" si="49"/>
        <v>0</v>
      </c>
      <c r="AC39" s="46">
        <f t="shared" si="39"/>
        <v>0</v>
      </c>
      <c r="AD39" s="46">
        <f t="shared" si="39"/>
        <v>0</v>
      </c>
      <c r="AE39" s="46">
        <f t="shared" si="39"/>
        <v>0</v>
      </c>
      <c r="AF39" s="28">
        <f t="shared" si="50"/>
        <v>0</v>
      </c>
    </row>
    <row r="40" spans="1:32">
      <c r="B40" s="50" t="s">
        <v>219</v>
      </c>
      <c r="C40" s="28">
        <v>554283</v>
      </c>
      <c r="D40" s="28">
        <v>0</v>
      </c>
      <c r="E40" s="40">
        <v>0</v>
      </c>
      <c r="F40" s="28">
        <v>0</v>
      </c>
      <c r="G40" s="374">
        <f t="shared" si="40"/>
        <v>554283</v>
      </c>
      <c r="H40" s="43"/>
      <c r="I40" s="28">
        <f t="shared" si="41"/>
        <v>554283</v>
      </c>
      <c r="J40" s="28">
        <f>+I40*100/I42</f>
        <v>1.6098618504158546</v>
      </c>
      <c r="K40" s="28">
        <f>+H33*J40/100</f>
        <v>214008.36586354073</v>
      </c>
      <c r="L40" s="6">
        <f t="shared" si="51"/>
        <v>0</v>
      </c>
      <c r="M40" s="6">
        <v>0</v>
      </c>
      <c r="N40" s="6">
        <v>0</v>
      </c>
      <c r="O40" s="28">
        <v>0</v>
      </c>
      <c r="P40" s="45">
        <f t="shared" si="42"/>
        <v>0</v>
      </c>
      <c r="Q40" s="403"/>
      <c r="R40" s="46">
        <f t="shared" si="43"/>
        <v>554283</v>
      </c>
      <c r="S40" s="46">
        <f t="shared" si="37"/>
        <v>0</v>
      </c>
      <c r="T40" s="46">
        <f t="shared" si="44"/>
        <v>0</v>
      </c>
      <c r="U40" s="46">
        <f t="shared" si="45"/>
        <v>214008.36586354073</v>
      </c>
      <c r="V40" s="45">
        <f t="shared" si="52"/>
        <v>768291.36586354068</v>
      </c>
      <c r="W40" s="47">
        <f>+C472*R40/R263</f>
        <v>452490.44207405136</v>
      </c>
      <c r="X40" s="47">
        <v>0</v>
      </c>
      <c r="Y40" s="47">
        <v>0</v>
      </c>
      <c r="Z40" s="47">
        <f t="shared" si="47"/>
        <v>41318.639831602093</v>
      </c>
      <c r="AA40" s="45">
        <f t="shared" si="48"/>
        <v>493809.08190565347</v>
      </c>
      <c r="AB40" s="46">
        <f t="shared" si="49"/>
        <v>1006773.4420740514</v>
      </c>
      <c r="AC40" s="46">
        <f t="shared" si="39"/>
        <v>0</v>
      </c>
      <c r="AD40" s="46">
        <f t="shared" si="39"/>
        <v>0</v>
      </c>
      <c r="AE40" s="46">
        <f t="shared" si="39"/>
        <v>255327.00569514284</v>
      </c>
      <c r="AF40" s="28">
        <f t="shared" si="50"/>
        <v>1262100.4477691941</v>
      </c>
    </row>
    <row r="41" spans="1:32">
      <c r="B41" s="42" t="s">
        <v>216</v>
      </c>
      <c r="C41" s="28">
        <v>0</v>
      </c>
      <c r="D41" s="28">
        <v>0</v>
      </c>
      <c r="E41" s="40">
        <v>0</v>
      </c>
      <c r="F41" s="28">
        <v>0</v>
      </c>
      <c r="G41" s="374">
        <f t="shared" si="40"/>
        <v>0</v>
      </c>
      <c r="H41" s="43"/>
      <c r="I41" s="28">
        <f t="shared" si="41"/>
        <v>0</v>
      </c>
      <c r="J41" s="44"/>
      <c r="K41" s="44"/>
      <c r="L41" s="6">
        <v>0</v>
      </c>
      <c r="M41" s="6">
        <v>0</v>
      </c>
      <c r="N41" s="6">
        <v>0</v>
      </c>
      <c r="O41" s="28">
        <v>0</v>
      </c>
      <c r="P41" s="45">
        <f t="shared" si="42"/>
        <v>0</v>
      </c>
      <c r="Q41" s="403"/>
      <c r="R41" s="46">
        <f t="shared" si="43"/>
        <v>0</v>
      </c>
      <c r="S41" s="46">
        <f t="shared" si="37"/>
        <v>0</v>
      </c>
      <c r="T41" s="46">
        <f t="shared" si="44"/>
        <v>0</v>
      </c>
      <c r="U41" s="46">
        <f t="shared" si="45"/>
        <v>0</v>
      </c>
      <c r="V41" s="45">
        <f t="shared" si="52"/>
        <v>0</v>
      </c>
      <c r="W41" s="47">
        <v>0</v>
      </c>
      <c r="X41" s="47">
        <v>0</v>
      </c>
      <c r="Y41" s="47">
        <v>0</v>
      </c>
      <c r="Z41" s="47">
        <v>0</v>
      </c>
      <c r="AA41" s="45">
        <f t="shared" si="48"/>
        <v>0</v>
      </c>
      <c r="AB41" s="46">
        <f t="shared" si="49"/>
        <v>0</v>
      </c>
      <c r="AC41" s="46">
        <f t="shared" si="39"/>
        <v>0</v>
      </c>
      <c r="AD41" s="46">
        <f t="shared" si="39"/>
        <v>0</v>
      </c>
      <c r="AE41" s="46">
        <f t="shared" si="39"/>
        <v>0</v>
      </c>
      <c r="AF41" s="28">
        <f t="shared" si="50"/>
        <v>0</v>
      </c>
    </row>
    <row r="42" spans="1:32">
      <c r="B42" s="42"/>
      <c r="C42" s="28">
        <f>SUM(C33:C41)</f>
        <v>22630740.100000001</v>
      </c>
      <c r="D42" s="28">
        <f>SUM(D33:D41)</f>
        <v>11799729.809999999</v>
      </c>
      <c r="E42" s="28">
        <f t="shared" ref="E42:F42" si="53">SUM(E33:E41)</f>
        <v>0</v>
      </c>
      <c r="F42" s="28">
        <f t="shared" si="53"/>
        <v>13293585.77</v>
      </c>
      <c r="G42" s="45">
        <f>SUM(G33:G41)</f>
        <v>47724055.68</v>
      </c>
      <c r="H42" s="43"/>
      <c r="I42" s="28">
        <f t="shared" ref="I42:Z42" si="54">SUM(I33:I41)</f>
        <v>34430469.909999996</v>
      </c>
      <c r="J42" s="28">
        <f t="shared" si="54"/>
        <v>100.00000000000001</v>
      </c>
      <c r="K42" s="28">
        <f t="shared" si="54"/>
        <v>13293585.770000005</v>
      </c>
      <c r="L42" s="28">
        <f t="shared" si="54"/>
        <v>769856.24924874376</v>
      </c>
      <c r="M42" s="28">
        <f t="shared" si="54"/>
        <v>154382.53551333677</v>
      </c>
      <c r="N42" s="28">
        <f t="shared" si="54"/>
        <v>0</v>
      </c>
      <c r="O42" s="28">
        <f t="shared" si="54"/>
        <v>0</v>
      </c>
      <c r="P42" s="28">
        <f t="shared" si="54"/>
        <v>924238.78476208053</v>
      </c>
      <c r="Q42" s="404">
        <f>SUM(Q33:Q41)</f>
        <v>1013921.96</v>
      </c>
      <c r="R42" s="46">
        <f t="shared" si="54"/>
        <v>23400596.349248745</v>
      </c>
      <c r="S42" s="46">
        <f t="shared" si="54"/>
        <v>11954112.345513336</v>
      </c>
      <c r="T42" s="46">
        <f t="shared" si="54"/>
        <v>1013921.96</v>
      </c>
      <c r="U42" s="46">
        <f t="shared" si="54"/>
        <v>13293585.770000005</v>
      </c>
      <c r="V42" s="51">
        <f t="shared" si="54"/>
        <v>49662216.424762078</v>
      </c>
      <c r="W42" s="46">
        <f t="shared" si="54"/>
        <v>33802560.470932968</v>
      </c>
      <c r="X42" s="28">
        <f t="shared" si="54"/>
        <v>4929077.5422617272</v>
      </c>
      <c r="Y42" s="28">
        <f t="shared" si="54"/>
        <v>0</v>
      </c>
      <c r="Z42" s="28">
        <f t="shared" si="54"/>
        <v>83743.027260827803</v>
      </c>
      <c r="AA42" s="45">
        <f>SUM(W42:Z42)</f>
        <v>38815381.04045552</v>
      </c>
      <c r="AB42" s="46">
        <f>SUM(AB33:AB41)</f>
        <v>57203156.82018172</v>
      </c>
      <c r="AC42" s="46">
        <f t="shared" ref="AC42:AF42" si="55">SUM(AC33:AC41)</f>
        <v>16883189.887775064</v>
      </c>
      <c r="AD42" s="46">
        <f t="shared" si="55"/>
        <v>1013921.96</v>
      </c>
      <c r="AE42" s="46">
        <f t="shared" si="55"/>
        <v>13377328.797260832</v>
      </c>
      <c r="AF42" s="46">
        <f t="shared" si="55"/>
        <v>88477597.465217605</v>
      </c>
    </row>
    <row r="43" spans="1:32">
      <c r="B43" s="58"/>
      <c r="C43" s="27">
        <f>34480936.55-11850196.45</f>
        <v>22630740.099999998</v>
      </c>
      <c r="D43" s="27">
        <f>13243119.13-1443389.32</f>
        <v>11799729.810000001</v>
      </c>
      <c r="E43" s="59">
        <v>0</v>
      </c>
      <c r="F43" s="27">
        <f>11850196.45+1443389.32</f>
        <v>13293585.77</v>
      </c>
      <c r="G43" s="29">
        <f>+C43+D43+E43+F43</f>
        <v>47724055.679999992</v>
      </c>
      <c r="R43" s="27"/>
      <c r="S43" s="27"/>
      <c r="T43" s="27"/>
      <c r="U43" s="27"/>
      <c r="V43" s="29"/>
    </row>
    <row r="44" spans="1:32" ht="26.25">
      <c r="B44" s="58"/>
      <c r="C44" s="390"/>
      <c r="D44" s="27"/>
      <c r="E44" s="59"/>
      <c r="F44" s="27"/>
      <c r="G44" s="33"/>
      <c r="R44" s="27"/>
      <c r="S44" s="27"/>
      <c r="T44" s="27"/>
      <c r="U44" s="27"/>
      <c r="V44" s="29"/>
    </row>
    <row r="45" spans="1:32">
      <c r="A45" s="389" t="s">
        <v>204</v>
      </c>
      <c r="B45" s="636" t="s">
        <v>221</v>
      </c>
      <c r="C45" s="636"/>
      <c r="D45" s="636"/>
      <c r="E45" s="636"/>
      <c r="F45" s="636"/>
      <c r="G45" s="636"/>
      <c r="R45" s="27"/>
      <c r="S45" s="27"/>
      <c r="T45" s="27"/>
      <c r="U45" s="27"/>
      <c r="V45" s="29"/>
    </row>
    <row r="46" spans="1:32">
      <c r="B46" s="55" t="s">
        <v>9</v>
      </c>
      <c r="C46" s="40" t="s">
        <v>206</v>
      </c>
      <c r="D46" s="40" t="s">
        <v>207</v>
      </c>
      <c r="E46" s="40" t="s">
        <v>10</v>
      </c>
      <c r="F46" s="40" t="s">
        <v>11</v>
      </c>
      <c r="G46" s="48" t="s">
        <v>208</v>
      </c>
      <c r="H46" s="43"/>
      <c r="I46" s="44"/>
      <c r="J46" s="44"/>
      <c r="K46" s="44"/>
      <c r="L46" s="28"/>
      <c r="M46" s="28"/>
      <c r="N46" s="28"/>
      <c r="O46" s="28"/>
      <c r="P46" s="45"/>
      <c r="Q46" s="403"/>
      <c r="R46" s="46"/>
      <c r="S46" s="28"/>
      <c r="T46" s="28"/>
      <c r="U46" s="28"/>
      <c r="V46" s="45"/>
      <c r="W46" s="56"/>
      <c r="X46" s="44"/>
      <c r="Y46" s="44"/>
      <c r="Z46" s="44"/>
      <c r="AA46" s="57"/>
      <c r="AB46" s="56"/>
      <c r="AC46" s="44"/>
      <c r="AD46" s="44"/>
      <c r="AE46" s="44"/>
      <c r="AF46" s="44"/>
    </row>
    <row r="47" spans="1:32">
      <c r="B47" s="42" t="s">
        <v>209</v>
      </c>
      <c r="C47" s="6"/>
      <c r="D47" s="6"/>
      <c r="E47" s="373">
        <v>0</v>
      </c>
      <c r="F47" s="6">
        <v>0</v>
      </c>
      <c r="G47" s="374">
        <f t="shared" ref="G47:G55" si="56">SUM(C47:F47)</f>
        <v>0</v>
      </c>
      <c r="H47" s="43"/>
      <c r="I47" s="44"/>
      <c r="J47" s="44"/>
      <c r="K47" s="44"/>
      <c r="L47" s="28">
        <f>+C297*C47/C92</f>
        <v>0</v>
      </c>
      <c r="M47" s="28">
        <f>+D297*D47/D92</f>
        <v>0</v>
      </c>
      <c r="N47" s="28">
        <v>0</v>
      </c>
      <c r="O47" s="28">
        <v>0</v>
      </c>
      <c r="P47" s="45">
        <f>SUM(L47:O47)</f>
        <v>0</v>
      </c>
      <c r="Q47" s="403"/>
      <c r="R47" s="46">
        <f>+C47+L47</f>
        <v>0</v>
      </c>
      <c r="S47" s="46">
        <f t="shared" ref="S47:S55" si="57">+D47+M47</f>
        <v>0</v>
      </c>
      <c r="T47" s="46">
        <f>+E47+N47+Q47</f>
        <v>0</v>
      </c>
      <c r="U47" s="46">
        <f>+K47</f>
        <v>0</v>
      </c>
      <c r="V47" s="45">
        <f t="shared" ref="V47:V52" si="58">SUM(R47:U47)</f>
        <v>0</v>
      </c>
      <c r="W47" s="47">
        <f t="shared" ref="W47:X52" si="59">+C465*R47/R256</f>
        <v>0</v>
      </c>
      <c r="X47" s="47">
        <f t="shared" si="59"/>
        <v>0</v>
      </c>
      <c r="Y47" s="47">
        <v>0</v>
      </c>
      <c r="Z47" s="47">
        <f>+F465*U47/U256</f>
        <v>0</v>
      </c>
      <c r="AA47" s="45">
        <f>SUM(W47:Z47)</f>
        <v>0</v>
      </c>
      <c r="AB47" s="46">
        <f>+R47+W47</f>
        <v>0</v>
      </c>
      <c r="AC47" s="46">
        <f>+S47+X47</f>
        <v>0</v>
      </c>
      <c r="AD47" s="46">
        <f t="shared" ref="AD47:AE55" si="60">+T47+Y47</f>
        <v>0</v>
      </c>
      <c r="AE47" s="46">
        <f t="shared" si="60"/>
        <v>0</v>
      </c>
      <c r="AF47" s="28">
        <f t="shared" ref="AF47:AF55" si="61">SUM(AB47:AE47)</f>
        <v>0</v>
      </c>
    </row>
    <row r="48" spans="1:32">
      <c r="B48" s="42" t="s">
        <v>210</v>
      </c>
      <c r="C48" s="6">
        <f>9253963.75+2073678.58</f>
        <v>11327642.33</v>
      </c>
      <c r="D48" s="6">
        <f>4454043.71+217023</f>
        <v>4671066.71</v>
      </c>
      <c r="E48" s="373">
        <v>0</v>
      </c>
      <c r="F48" s="6">
        <v>6391132.6200000001</v>
      </c>
      <c r="G48" s="374">
        <f t="shared" si="56"/>
        <v>22389841.66</v>
      </c>
      <c r="H48" s="43">
        <f>+F56</f>
        <v>6391132.6200000001</v>
      </c>
      <c r="I48" s="28">
        <f>+C48+D48</f>
        <v>15998709.039999999</v>
      </c>
      <c r="J48" s="28">
        <f>+I48*100/I56</f>
        <v>87.496833821990265</v>
      </c>
      <c r="K48" s="28">
        <f>+H48*J48/100</f>
        <v>5592038.6878644116</v>
      </c>
      <c r="L48" s="28">
        <f>+C298*C48/C93</f>
        <v>1336384.2120603877</v>
      </c>
      <c r="M48" s="28">
        <f>+D298*D48/D93</f>
        <v>714223.57948627765</v>
      </c>
      <c r="N48" s="28">
        <v>0</v>
      </c>
      <c r="O48" s="28">
        <v>0</v>
      </c>
      <c r="P48" s="45">
        <f t="shared" ref="P48:P55" si="62">SUM(L48:O48)</f>
        <v>2050607.7915466654</v>
      </c>
      <c r="Q48" s="403">
        <v>547124.64</v>
      </c>
      <c r="R48" s="46">
        <f t="shared" ref="R48:R55" si="63">+C48+L48</f>
        <v>12664026.542060388</v>
      </c>
      <c r="S48" s="46">
        <f t="shared" si="57"/>
        <v>5385290.2894862778</v>
      </c>
      <c r="T48" s="46">
        <f t="shared" ref="T48:T55" si="64">+E48+N48+Q48</f>
        <v>547124.64</v>
      </c>
      <c r="U48" s="46">
        <f t="shared" ref="U48:U55" si="65">+K48</f>
        <v>5592038.6878644116</v>
      </c>
      <c r="V48" s="45">
        <f t="shared" si="58"/>
        <v>24188480.159411076</v>
      </c>
      <c r="W48" s="47">
        <f t="shared" si="59"/>
        <v>19019650.813529681</v>
      </c>
      <c r="X48" s="47">
        <f t="shared" si="59"/>
        <v>3061155.4882098008</v>
      </c>
      <c r="Y48" s="47">
        <v>0</v>
      </c>
      <c r="Z48" s="47">
        <f t="shared" ref="Z48:Z54" si="66">+F466*U48/U257</f>
        <v>3533615.7824537223</v>
      </c>
      <c r="AA48" s="45">
        <f t="shared" ref="AA48:AA55" si="67">SUM(W48:Z48)</f>
        <v>25614422.084193207</v>
      </c>
      <c r="AB48" s="46">
        <f t="shared" ref="AB48:AB55" si="68">+R48+W48</f>
        <v>31683677.355590068</v>
      </c>
      <c r="AC48" s="46">
        <f t="shared" ref="AC48:AC55" si="69">+S48+X48</f>
        <v>8446445.7776960786</v>
      </c>
      <c r="AD48" s="46">
        <f t="shared" si="60"/>
        <v>547124.64</v>
      </c>
      <c r="AE48" s="46">
        <f t="shared" si="60"/>
        <v>9125654.4703181349</v>
      </c>
      <c r="AF48" s="28">
        <f t="shared" si="61"/>
        <v>49802902.243604288</v>
      </c>
    </row>
    <row r="49" spans="1:32" ht="23.25">
      <c r="B49" s="42" t="s">
        <v>211</v>
      </c>
      <c r="C49" s="6">
        <v>225056.5</v>
      </c>
      <c r="D49" s="375">
        <v>0</v>
      </c>
      <c r="E49" s="375">
        <v>0</v>
      </c>
      <c r="F49" s="373">
        <v>0</v>
      </c>
      <c r="G49" s="374">
        <f t="shared" si="56"/>
        <v>225056.5</v>
      </c>
      <c r="H49" s="43"/>
      <c r="I49" s="28">
        <f t="shared" ref="I49:I55" si="70">+C49+D49</f>
        <v>225056.5</v>
      </c>
      <c r="J49" s="28">
        <f>+I49*100/I56</f>
        <v>1.2308325085371232</v>
      </c>
      <c r="K49" s="28">
        <f>+H48*J49/100</f>
        <v>78664.137950680364</v>
      </c>
      <c r="L49" s="28">
        <f t="shared" ref="L49:L54" si="71">+C299*C49/C94</f>
        <v>0</v>
      </c>
      <c r="M49" s="28">
        <v>0</v>
      </c>
      <c r="N49" s="28">
        <v>0</v>
      </c>
      <c r="O49" s="28">
        <v>0</v>
      </c>
      <c r="P49" s="45">
        <f t="shared" si="62"/>
        <v>0</v>
      </c>
      <c r="Q49" s="403"/>
      <c r="R49" s="46">
        <f t="shared" si="63"/>
        <v>225056.5</v>
      </c>
      <c r="S49" s="46">
        <f t="shared" si="57"/>
        <v>0</v>
      </c>
      <c r="T49" s="46">
        <f t="shared" si="64"/>
        <v>0</v>
      </c>
      <c r="U49" s="46">
        <f t="shared" si="65"/>
        <v>78664.137950680364</v>
      </c>
      <c r="V49" s="45">
        <f t="shared" si="58"/>
        <v>303720.63795068034</v>
      </c>
      <c r="W49" s="47">
        <f t="shared" si="59"/>
        <v>29128.045310558737</v>
      </c>
      <c r="X49" s="47">
        <f t="shared" si="59"/>
        <v>0</v>
      </c>
      <c r="Y49" s="47">
        <v>0</v>
      </c>
      <c r="Z49" s="47">
        <f t="shared" si="66"/>
        <v>0</v>
      </c>
      <c r="AA49" s="45">
        <f t="shared" si="67"/>
        <v>29128.045310558737</v>
      </c>
      <c r="AB49" s="46">
        <f t="shared" si="68"/>
        <v>254184.54531055875</v>
      </c>
      <c r="AC49" s="46">
        <f t="shared" si="69"/>
        <v>0</v>
      </c>
      <c r="AD49" s="46">
        <f t="shared" si="60"/>
        <v>0</v>
      </c>
      <c r="AE49" s="46">
        <f t="shared" si="60"/>
        <v>78664.137950680364</v>
      </c>
      <c r="AF49" s="28">
        <f t="shared" si="61"/>
        <v>332848.68326123909</v>
      </c>
    </row>
    <row r="50" spans="1:32">
      <c r="B50" s="42" t="s">
        <v>212</v>
      </c>
      <c r="C50" s="6">
        <v>716835</v>
      </c>
      <c r="D50" s="6">
        <v>80000</v>
      </c>
      <c r="E50" s="373">
        <v>0</v>
      </c>
      <c r="F50" s="6">
        <v>0</v>
      </c>
      <c r="G50" s="374">
        <f t="shared" si="56"/>
        <v>796835</v>
      </c>
      <c r="H50" s="43"/>
      <c r="I50" s="28">
        <f t="shared" si="70"/>
        <v>796835</v>
      </c>
      <c r="J50" s="28">
        <f>+I50*100/I56</f>
        <v>4.3578853396377299</v>
      </c>
      <c r="K50" s="28">
        <f>+H48*J50/100</f>
        <v>278518.23148378474</v>
      </c>
      <c r="L50" s="28">
        <f t="shared" si="71"/>
        <v>0</v>
      </c>
      <c r="M50" s="28">
        <f>+D300*D50/D95</f>
        <v>0</v>
      </c>
      <c r="N50" s="28">
        <v>0</v>
      </c>
      <c r="O50" s="28">
        <v>0</v>
      </c>
      <c r="P50" s="45">
        <f t="shared" si="62"/>
        <v>0</v>
      </c>
      <c r="Q50" s="403"/>
      <c r="R50" s="46">
        <f t="shared" si="63"/>
        <v>716835</v>
      </c>
      <c r="S50" s="46">
        <f t="shared" si="57"/>
        <v>80000</v>
      </c>
      <c r="T50" s="46">
        <f t="shared" si="64"/>
        <v>0</v>
      </c>
      <c r="U50" s="46">
        <f t="shared" si="65"/>
        <v>278518.23148378474</v>
      </c>
      <c r="V50" s="45">
        <f t="shared" si="58"/>
        <v>1075353.2314837847</v>
      </c>
      <c r="W50" s="47">
        <f t="shared" si="59"/>
        <v>519658.01642170717</v>
      </c>
      <c r="X50" s="47">
        <f t="shared" si="59"/>
        <v>12552.022805841285</v>
      </c>
      <c r="Y50" s="47">
        <v>0</v>
      </c>
      <c r="Z50" s="47">
        <f t="shared" si="66"/>
        <v>59194.243413447119</v>
      </c>
      <c r="AA50" s="45">
        <f t="shared" si="67"/>
        <v>591404.28264099557</v>
      </c>
      <c r="AB50" s="46">
        <f t="shared" si="68"/>
        <v>1236493.0164217071</v>
      </c>
      <c r="AC50" s="46">
        <f t="shared" si="69"/>
        <v>92552.02280584129</v>
      </c>
      <c r="AD50" s="46">
        <f t="shared" si="60"/>
        <v>0</v>
      </c>
      <c r="AE50" s="46">
        <f t="shared" si="60"/>
        <v>337712.47489723185</v>
      </c>
      <c r="AF50" s="28">
        <f t="shared" si="61"/>
        <v>1666757.5141247804</v>
      </c>
    </row>
    <row r="51" spans="1:32">
      <c r="B51" s="42" t="s">
        <v>213</v>
      </c>
      <c r="C51" s="6">
        <v>675300</v>
      </c>
      <c r="D51" s="6">
        <v>155000</v>
      </c>
      <c r="E51" s="373">
        <v>0</v>
      </c>
      <c r="F51" s="6">
        <v>0</v>
      </c>
      <c r="G51" s="374">
        <f t="shared" si="56"/>
        <v>830300</v>
      </c>
      <c r="H51" s="43"/>
      <c r="I51" s="28">
        <f t="shared" si="70"/>
        <v>830300</v>
      </c>
      <c r="J51" s="28">
        <f>+I51*100/I56</f>
        <v>4.5409052030862185</v>
      </c>
      <c r="K51" s="28">
        <f>+H48*J51/100</f>
        <v>290215.27367772057</v>
      </c>
      <c r="L51" s="28">
        <f t="shared" si="71"/>
        <v>0</v>
      </c>
      <c r="M51" s="28">
        <f>+D301*D51/D96</f>
        <v>0</v>
      </c>
      <c r="N51" s="28">
        <v>0</v>
      </c>
      <c r="O51" s="28">
        <v>0</v>
      </c>
      <c r="P51" s="45">
        <f t="shared" si="62"/>
        <v>0</v>
      </c>
      <c r="Q51" s="403"/>
      <c r="R51" s="46">
        <f t="shared" si="63"/>
        <v>675300</v>
      </c>
      <c r="S51" s="46">
        <f t="shared" si="57"/>
        <v>155000</v>
      </c>
      <c r="T51" s="46">
        <f t="shared" si="64"/>
        <v>0</v>
      </c>
      <c r="U51" s="46">
        <f t="shared" si="65"/>
        <v>290215.27367772057</v>
      </c>
      <c r="V51" s="45">
        <f t="shared" si="58"/>
        <v>1120515.2736777207</v>
      </c>
      <c r="W51" s="47">
        <f t="shared" si="59"/>
        <v>0</v>
      </c>
      <c r="X51" s="47">
        <f t="shared" si="59"/>
        <v>0</v>
      </c>
      <c r="Y51" s="47">
        <v>0</v>
      </c>
      <c r="Z51" s="47">
        <f t="shared" si="66"/>
        <v>0</v>
      </c>
      <c r="AA51" s="45">
        <f t="shared" si="67"/>
        <v>0</v>
      </c>
      <c r="AB51" s="46">
        <f t="shared" si="68"/>
        <v>675300</v>
      </c>
      <c r="AC51" s="46">
        <f t="shared" si="69"/>
        <v>155000</v>
      </c>
      <c r="AD51" s="46">
        <f t="shared" si="60"/>
        <v>0</v>
      </c>
      <c r="AE51" s="46">
        <f t="shared" si="60"/>
        <v>290215.27367772057</v>
      </c>
      <c r="AF51" s="28">
        <f t="shared" si="61"/>
        <v>1120515.2736777207</v>
      </c>
    </row>
    <row r="52" spans="1:32">
      <c r="B52" s="42" t="s">
        <v>214</v>
      </c>
      <c r="C52" s="6">
        <v>304000</v>
      </c>
      <c r="D52" s="6">
        <v>130000</v>
      </c>
      <c r="E52" s="373">
        <v>0</v>
      </c>
      <c r="F52" s="6">
        <v>0</v>
      </c>
      <c r="G52" s="374">
        <f t="shared" si="56"/>
        <v>434000</v>
      </c>
      <c r="H52" s="43"/>
      <c r="I52" s="28">
        <f t="shared" si="70"/>
        <v>434000</v>
      </c>
      <c r="J52" s="28">
        <f>+I52*100/I56</f>
        <v>2.3735431267486677</v>
      </c>
      <c r="K52" s="28">
        <f>+H48*J52/100</f>
        <v>151696.28902340206</v>
      </c>
      <c r="L52" s="28">
        <f t="shared" si="71"/>
        <v>0</v>
      </c>
      <c r="M52" s="28">
        <f>+D302*D52/D97</f>
        <v>0</v>
      </c>
      <c r="N52" s="28">
        <v>0</v>
      </c>
      <c r="O52" s="28">
        <v>0</v>
      </c>
      <c r="P52" s="45">
        <f t="shared" si="62"/>
        <v>0</v>
      </c>
      <c r="Q52" s="403"/>
      <c r="R52" s="46">
        <f t="shared" si="63"/>
        <v>304000</v>
      </c>
      <c r="S52" s="46">
        <f t="shared" si="57"/>
        <v>130000</v>
      </c>
      <c r="T52" s="46">
        <f t="shared" si="64"/>
        <v>0</v>
      </c>
      <c r="U52" s="46">
        <f t="shared" si="65"/>
        <v>151696.28902340206</v>
      </c>
      <c r="V52" s="45">
        <f t="shared" si="58"/>
        <v>585696.28902340203</v>
      </c>
      <c r="W52" s="47">
        <f t="shared" si="59"/>
        <v>0</v>
      </c>
      <c r="X52" s="47">
        <f t="shared" si="59"/>
        <v>0</v>
      </c>
      <c r="Y52" s="47">
        <v>0</v>
      </c>
      <c r="Z52" s="47">
        <f t="shared" si="66"/>
        <v>0</v>
      </c>
      <c r="AA52" s="45">
        <f t="shared" si="67"/>
        <v>0</v>
      </c>
      <c r="AB52" s="46">
        <f t="shared" si="68"/>
        <v>304000</v>
      </c>
      <c r="AC52" s="46">
        <f t="shared" si="69"/>
        <v>130000</v>
      </c>
      <c r="AD52" s="46">
        <f t="shared" si="60"/>
        <v>0</v>
      </c>
      <c r="AE52" s="46">
        <f t="shared" si="60"/>
        <v>151696.28902340206</v>
      </c>
      <c r="AF52" s="28">
        <f t="shared" si="61"/>
        <v>585696.28902340203</v>
      </c>
    </row>
    <row r="53" spans="1:32">
      <c r="B53" s="50" t="s">
        <v>437</v>
      </c>
      <c r="C53" s="28">
        <v>0</v>
      </c>
      <c r="D53" s="28">
        <v>0</v>
      </c>
      <c r="E53" s="40">
        <v>0</v>
      </c>
      <c r="F53" s="28">
        <v>0</v>
      </c>
      <c r="G53" s="374">
        <f t="shared" si="56"/>
        <v>0</v>
      </c>
      <c r="H53" s="43"/>
      <c r="I53" s="28">
        <f t="shared" si="70"/>
        <v>0</v>
      </c>
      <c r="J53" s="28">
        <f>+I53*100/I56</f>
        <v>0</v>
      </c>
      <c r="K53" s="28">
        <f>+H48*J53/100</f>
        <v>0</v>
      </c>
      <c r="L53" s="28">
        <v>0</v>
      </c>
      <c r="M53" s="28">
        <v>0</v>
      </c>
      <c r="N53" s="28">
        <v>0</v>
      </c>
      <c r="O53" s="28">
        <v>0</v>
      </c>
      <c r="P53" s="45">
        <f t="shared" si="62"/>
        <v>0</v>
      </c>
      <c r="Q53" s="403"/>
      <c r="R53" s="46">
        <f t="shared" si="63"/>
        <v>0</v>
      </c>
      <c r="S53" s="46">
        <f t="shared" si="57"/>
        <v>0</v>
      </c>
      <c r="T53" s="46">
        <f t="shared" si="64"/>
        <v>0</v>
      </c>
      <c r="U53" s="46">
        <f t="shared" si="65"/>
        <v>0</v>
      </c>
      <c r="V53" s="45">
        <f t="shared" ref="V53:V55" si="72">SUM(R53:U53)</f>
        <v>0</v>
      </c>
      <c r="W53" s="47">
        <f>+C471*R53/R262</f>
        <v>0</v>
      </c>
      <c r="X53" s="47">
        <v>0</v>
      </c>
      <c r="Y53" s="47">
        <v>0</v>
      </c>
      <c r="Z53" s="47">
        <v>0</v>
      </c>
      <c r="AA53" s="45">
        <f t="shared" si="67"/>
        <v>0</v>
      </c>
      <c r="AB53" s="46">
        <f t="shared" si="68"/>
        <v>0</v>
      </c>
      <c r="AC53" s="46">
        <f t="shared" si="69"/>
        <v>0</v>
      </c>
      <c r="AD53" s="46">
        <f t="shared" si="60"/>
        <v>0</v>
      </c>
      <c r="AE53" s="46">
        <f t="shared" si="60"/>
        <v>0</v>
      </c>
      <c r="AF53" s="28">
        <f t="shared" si="61"/>
        <v>0</v>
      </c>
    </row>
    <row r="54" spans="1:32">
      <c r="B54" s="50" t="s">
        <v>219</v>
      </c>
      <c r="C54" s="28">
        <v>0</v>
      </c>
      <c r="D54" s="28">
        <v>0</v>
      </c>
      <c r="E54" s="40">
        <v>0</v>
      </c>
      <c r="F54" s="28">
        <v>0</v>
      </c>
      <c r="G54" s="374">
        <f t="shared" si="56"/>
        <v>0</v>
      </c>
      <c r="H54" s="43"/>
      <c r="I54" s="28">
        <f t="shared" si="70"/>
        <v>0</v>
      </c>
      <c r="J54" s="28">
        <f>+I54*100/I56</f>
        <v>0</v>
      </c>
      <c r="K54" s="28">
        <f>+H48*J54/100</f>
        <v>0</v>
      </c>
      <c r="L54" s="28">
        <f t="shared" si="71"/>
        <v>0</v>
      </c>
      <c r="M54" s="28">
        <v>0</v>
      </c>
      <c r="N54" s="28">
        <v>0</v>
      </c>
      <c r="O54" s="28">
        <v>0</v>
      </c>
      <c r="P54" s="45">
        <f t="shared" si="62"/>
        <v>0</v>
      </c>
      <c r="Q54" s="403"/>
      <c r="R54" s="46">
        <f t="shared" si="63"/>
        <v>0</v>
      </c>
      <c r="S54" s="46">
        <f t="shared" si="57"/>
        <v>0</v>
      </c>
      <c r="T54" s="46">
        <f t="shared" si="64"/>
        <v>0</v>
      </c>
      <c r="U54" s="46">
        <f t="shared" si="65"/>
        <v>0</v>
      </c>
      <c r="V54" s="45">
        <f t="shared" si="72"/>
        <v>0</v>
      </c>
      <c r="W54" s="47">
        <f>+C472*R54/R263</f>
        <v>0</v>
      </c>
      <c r="X54" s="47">
        <v>0</v>
      </c>
      <c r="Y54" s="47">
        <v>0</v>
      </c>
      <c r="Z54" s="47">
        <f t="shared" si="66"/>
        <v>0</v>
      </c>
      <c r="AA54" s="45">
        <f t="shared" si="67"/>
        <v>0</v>
      </c>
      <c r="AB54" s="46">
        <f t="shared" si="68"/>
        <v>0</v>
      </c>
      <c r="AC54" s="46">
        <f t="shared" si="69"/>
        <v>0</v>
      </c>
      <c r="AD54" s="46">
        <f t="shared" si="60"/>
        <v>0</v>
      </c>
      <c r="AE54" s="46">
        <f t="shared" si="60"/>
        <v>0</v>
      </c>
      <c r="AF54" s="28">
        <f t="shared" si="61"/>
        <v>0</v>
      </c>
    </row>
    <row r="55" spans="1:32">
      <c r="B55" s="42" t="s">
        <v>216</v>
      </c>
      <c r="C55" s="28">
        <v>0</v>
      </c>
      <c r="D55" s="28">
        <v>0</v>
      </c>
      <c r="E55" s="40">
        <v>0</v>
      </c>
      <c r="F55" s="28">
        <v>0</v>
      </c>
      <c r="G55" s="374">
        <f t="shared" si="56"/>
        <v>0</v>
      </c>
      <c r="H55" s="43"/>
      <c r="I55" s="28">
        <f t="shared" si="70"/>
        <v>0</v>
      </c>
      <c r="J55" s="44"/>
      <c r="K55" s="44"/>
      <c r="L55" s="28">
        <v>0</v>
      </c>
      <c r="M55" s="28">
        <v>0</v>
      </c>
      <c r="N55" s="28">
        <v>0</v>
      </c>
      <c r="O55" s="28">
        <v>0</v>
      </c>
      <c r="P55" s="45">
        <f t="shared" si="62"/>
        <v>0</v>
      </c>
      <c r="Q55" s="403"/>
      <c r="R55" s="46">
        <f t="shared" si="63"/>
        <v>0</v>
      </c>
      <c r="S55" s="46">
        <f t="shared" si="57"/>
        <v>0</v>
      </c>
      <c r="T55" s="46">
        <f t="shared" si="64"/>
        <v>0</v>
      </c>
      <c r="U55" s="46">
        <f t="shared" si="65"/>
        <v>0</v>
      </c>
      <c r="V55" s="45">
        <f t="shared" si="72"/>
        <v>0</v>
      </c>
      <c r="W55" s="47">
        <v>0</v>
      </c>
      <c r="X55" s="47">
        <v>0</v>
      </c>
      <c r="Y55" s="47">
        <v>0</v>
      </c>
      <c r="Z55" s="47">
        <v>0</v>
      </c>
      <c r="AA55" s="45">
        <f t="shared" si="67"/>
        <v>0</v>
      </c>
      <c r="AB55" s="46">
        <f t="shared" si="68"/>
        <v>0</v>
      </c>
      <c r="AC55" s="46">
        <f t="shared" si="69"/>
        <v>0</v>
      </c>
      <c r="AD55" s="46">
        <f t="shared" si="60"/>
        <v>0</v>
      </c>
      <c r="AE55" s="46">
        <f t="shared" si="60"/>
        <v>0</v>
      </c>
      <c r="AF55" s="28">
        <f t="shared" si="61"/>
        <v>0</v>
      </c>
    </row>
    <row r="56" spans="1:32">
      <c r="B56" s="42"/>
      <c r="C56" s="28">
        <f>SUM(C47:C55)</f>
        <v>13248833.83</v>
      </c>
      <c r="D56" s="28">
        <f>SUM(D47:D55)</f>
        <v>5036066.71</v>
      </c>
      <c r="E56" s="28">
        <f t="shared" ref="E56:F56" si="73">SUM(E47:E55)</f>
        <v>0</v>
      </c>
      <c r="F56" s="28">
        <f t="shared" si="73"/>
        <v>6391132.6200000001</v>
      </c>
      <c r="G56" s="45">
        <f>SUM(G47:G55)</f>
        <v>24676033.16</v>
      </c>
      <c r="H56" s="43"/>
      <c r="I56" s="28">
        <f>SUM(I48:I55)</f>
        <v>18284900.539999999</v>
      </c>
      <c r="J56" s="28">
        <f>SUM(J48:J55)</f>
        <v>100</v>
      </c>
      <c r="K56" s="28">
        <f>SUM(K48:K55)</f>
        <v>6391132.6199999992</v>
      </c>
      <c r="L56" s="28">
        <f t="shared" ref="L56:Z56" si="74">SUM(L47:L55)</f>
        <v>1336384.2120603877</v>
      </c>
      <c r="M56" s="28">
        <f t="shared" si="74"/>
        <v>714223.57948627765</v>
      </c>
      <c r="N56" s="28">
        <f t="shared" si="74"/>
        <v>0</v>
      </c>
      <c r="O56" s="28">
        <f t="shared" si="74"/>
        <v>0</v>
      </c>
      <c r="P56" s="28">
        <f t="shared" si="74"/>
        <v>2050607.7915466654</v>
      </c>
      <c r="Q56" s="404">
        <f>SUM(Q47:Q55)</f>
        <v>547124.64</v>
      </c>
      <c r="R56" s="46">
        <f t="shared" si="74"/>
        <v>14585218.042060388</v>
      </c>
      <c r="S56" s="46">
        <f t="shared" si="74"/>
        <v>5750290.2894862778</v>
      </c>
      <c r="T56" s="46">
        <f t="shared" si="74"/>
        <v>547124.64</v>
      </c>
      <c r="U56" s="46">
        <f t="shared" ref="U56" si="75">+K56+O56</f>
        <v>6391132.6199999992</v>
      </c>
      <c r="V56" s="51">
        <f t="shared" si="74"/>
        <v>27273765.591546666</v>
      </c>
      <c r="W56" s="46">
        <f t="shared" si="74"/>
        <v>19568436.875261944</v>
      </c>
      <c r="X56" s="28">
        <f t="shared" si="74"/>
        <v>3073707.511015642</v>
      </c>
      <c r="Y56" s="28">
        <f t="shared" si="74"/>
        <v>0</v>
      </c>
      <c r="Z56" s="28">
        <f t="shared" si="74"/>
        <v>3592810.0258671693</v>
      </c>
      <c r="AA56" s="45">
        <f>SUM(W56:Z56)</f>
        <v>26234954.412144754</v>
      </c>
      <c r="AB56" s="46">
        <f>SUM(AB47:AB55)</f>
        <v>34153654.91732233</v>
      </c>
      <c r="AC56" s="28">
        <f>SUM(AC47:AC55)</f>
        <v>8823997.8005019203</v>
      </c>
      <c r="AD56" s="28">
        <f>SUM(AD47:AD55)</f>
        <v>547124.64</v>
      </c>
      <c r="AE56" s="28">
        <f>SUM(AE47:AE55)</f>
        <v>9983942.6458671689</v>
      </c>
      <c r="AF56" s="28">
        <f>SUM(AB56:AE56)</f>
        <v>53508720.00369142</v>
      </c>
    </row>
    <row r="57" spans="1:32">
      <c r="B57" s="58"/>
      <c r="C57" s="27">
        <f>19268222.43-6019388.6</f>
        <v>13248833.83</v>
      </c>
      <c r="D57" s="27">
        <f>5407810.73-371744.02</f>
        <v>5036066.7100000009</v>
      </c>
      <c r="E57" s="59">
        <v>0</v>
      </c>
      <c r="F57" s="27">
        <f>6019388.6+371744.02</f>
        <v>6391132.6199999992</v>
      </c>
      <c r="G57" s="29">
        <f>+C57+D57+E57+F57</f>
        <v>24676033.159999996</v>
      </c>
      <c r="R57" s="27"/>
      <c r="S57" s="27"/>
      <c r="T57" s="27"/>
      <c r="U57" s="27"/>
      <c r="V57" s="29"/>
    </row>
    <row r="58" spans="1:32">
      <c r="B58" s="58"/>
      <c r="C58" s="27"/>
      <c r="D58" s="27"/>
      <c r="E58" s="59"/>
      <c r="F58" s="27"/>
      <c r="G58" s="29"/>
      <c r="R58" s="27"/>
      <c r="S58" s="27"/>
      <c r="T58" s="27"/>
      <c r="U58" s="27"/>
      <c r="V58" s="29"/>
    </row>
    <row r="59" spans="1:32">
      <c r="A59" s="389" t="s">
        <v>204</v>
      </c>
      <c r="B59" s="636" t="s">
        <v>222</v>
      </c>
      <c r="C59" s="636"/>
      <c r="D59" s="636"/>
      <c r="E59" s="636"/>
      <c r="F59" s="636"/>
      <c r="G59" s="636"/>
      <c r="R59" s="27"/>
      <c r="S59" s="27"/>
      <c r="T59" s="27"/>
      <c r="U59" s="27"/>
      <c r="V59" s="29"/>
    </row>
    <row r="60" spans="1:32">
      <c r="B60" s="55" t="s">
        <v>9</v>
      </c>
      <c r="C60" s="40" t="s">
        <v>206</v>
      </c>
      <c r="D60" s="40" t="s">
        <v>207</v>
      </c>
      <c r="E60" s="40" t="s">
        <v>10</v>
      </c>
      <c r="F60" s="40" t="s">
        <v>11</v>
      </c>
      <c r="G60" s="48" t="s">
        <v>208</v>
      </c>
      <c r="H60" s="43"/>
      <c r="I60" s="44"/>
      <c r="J60" s="44"/>
      <c r="K60" s="44"/>
      <c r="L60" s="28"/>
      <c r="M60" s="28"/>
      <c r="N60" s="28"/>
      <c r="O60" s="28"/>
      <c r="P60" s="45"/>
      <c r="Q60" s="403"/>
      <c r="R60" s="46"/>
      <c r="S60" s="28"/>
      <c r="T60" s="28"/>
      <c r="U60" s="28"/>
      <c r="V60" s="45"/>
      <c r="W60" s="56"/>
      <c r="X60" s="44"/>
      <c r="Y60" s="44"/>
      <c r="Z60" s="44"/>
      <c r="AA60" s="57"/>
      <c r="AB60" s="56"/>
      <c r="AC60" s="44"/>
      <c r="AD60" s="44"/>
      <c r="AE60" s="44"/>
      <c r="AF60" s="44"/>
    </row>
    <row r="61" spans="1:32">
      <c r="B61" s="42" t="s">
        <v>209</v>
      </c>
      <c r="C61" s="6">
        <v>0</v>
      </c>
      <c r="D61" s="6">
        <v>0</v>
      </c>
      <c r="E61" s="373">
        <v>0</v>
      </c>
      <c r="F61" s="6">
        <v>0</v>
      </c>
      <c r="G61" s="374">
        <f>SUM(C61:F61)</f>
        <v>0</v>
      </c>
      <c r="H61" s="43"/>
      <c r="I61" s="44"/>
      <c r="J61" s="44"/>
      <c r="K61" s="44"/>
      <c r="L61" s="28">
        <f>+C297*C61/C92</f>
        <v>0</v>
      </c>
      <c r="M61" s="28">
        <f>+D297*D61/D92</f>
        <v>0</v>
      </c>
      <c r="N61" s="28">
        <v>0</v>
      </c>
      <c r="O61" s="28">
        <v>0</v>
      </c>
      <c r="P61" s="45">
        <f>SUM(L61:O61)</f>
        <v>0</v>
      </c>
      <c r="Q61" s="403"/>
      <c r="R61" s="46">
        <f>+C61+L61</f>
        <v>0</v>
      </c>
      <c r="S61" s="46">
        <f t="shared" ref="S61:S69" si="76">+D61+M61</f>
        <v>0</v>
      </c>
      <c r="T61" s="46">
        <f>+E61+N61+Q61</f>
        <v>0</v>
      </c>
      <c r="U61" s="46">
        <f>+K61</f>
        <v>0</v>
      </c>
      <c r="V61" s="45">
        <f>SUM(R61:U61)</f>
        <v>0</v>
      </c>
      <c r="W61" s="47">
        <f t="shared" ref="W61:X66" si="77">+C465*R61/R256</f>
        <v>0</v>
      </c>
      <c r="X61" s="47">
        <f t="shared" si="77"/>
        <v>0</v>
      </c>
      <c r="Y61" s="47">
        <v>0</v>
      </c>
      <c r="Z61" s="47">
        <f>+F465*U61/U256</f>
        <v>0</v>
      </c>
      <c r="AA61" s="45">
        <f>SUM(W61:Z61)</f>
        <v>0</v>
      </c>
      <c r="AB61" s="46">
        <f>+R61+W61</f>
        <v>0</v>
      </c>
      <c r="AC61" s="46">
        <f t="shared" ref="AC61:AE69" si="78">+S61+X61</f>
        <v>0</v>
      </c>
      <c r="AD61" s="46">
        <f t="shared" si="78"/>
        <v>0</v>
      </c>
      <c r="AE61" s="46">
        <f t="shared" si="78"/>
        <v>0</v>
      </c>
      <c r="AF61" s="28">
        <f>SUM(AB61:AE61)</f>
        <v>0</v>
      </c>
    </row>
    <row r="62" spans="1:32">
      <c r="B62" s="42" t="s">
        <v>210</v>
      </c>
      <c r="C62" s="6">
        <v>17056272.23</v>
      </c>
      <c r="D62" s="6">
        <v>5531077.2199999997</v>
      </c>
      <c r="E62" s="373">
        <v>0</v>
      </c>
      <c r="F62" s="6">
        <v>10576858.810000001</v>
      </c>
      <c r="G62" s="374">
        <f>SUM(C62:F62)</f>
        <v>33164208.259999998</v>
      </c>
      <c r="H62" s="43">
        <f>+F70</f>
        <v>10576858.810000001</v>
      </c>
      <c r="I62" s="28">
        <f>+C62+D62</f>
        <v>22587349.449999999</v>
      </c>
      <c r="J62" s="28">
        <f>+I62*100/I70</f>
        <v>93.4533597465974</v>
      </c>
      <c r="K62" s="28">
        <f>+H62*J62/100</f>
        <v>9884429.9135989808</v>
      </c>
      <c r="L62" s="28">
        <f>+C298*C62/C93</f>
        <v>2012222.1606882268</v>
      </c>
      <c r="M62" s="28">
        <f>+D298*D62/D93</f>
        <v>845722.40469745069</v>
      </c>
      <c r="N62" s="28">
        <v>0</v>
      </c>
      <c r="O62" s="28">
        <v>0</v>
      </c>
      <c r="P62" s="45">
        <f t="shared" ref="P62:P69" si="79">SUM(L62:O62)</f>
        <v>2857944.5653856774</v>
      </c>
      <c r="Q62" s="403">
        <v>756964.43</v>
      </c>
      <c r="R62" s="46">
        <f t="shared" ref="R62:R69" si="80">+C62+L62</f>
        <v>19068494.390688226</v>
      </c>
      <c r="S62" s="46">
        <f t="shared" si="76"/>
        <v>6376799.6246974505</v>
      </c>
      <c r="T62" s="46">
        <f t="shared" ref="T62:T69" si="81">+E62+N62+Q62</f>
        <v>756964.43</v>
      </c>
      <c r="U62" s="46">
        <f t="shared" ref="U62:U69" si="82">+K62</f>
        <v>9884429.9135989808</v>
      </c>
      <c r="V62" s="45">
        <f t="shared" ref="V62:V69" si="83">SUM(R62:U62)</f>
        <v>36086688.358984657</v>
      </c>
      <c r="W62" s="47">
        <f t="shared" si="77"/>
        <v>28638293.172088809</v>
      </c>
      <c r="X62" s="47">
        <f t="shared" si="77"/>
        <v>3624758.2059720163</v>
      </c>
      <c r="Y62" s="47">
        <v>0</v>
      </c>
      <c r="Z62" s="47">
        <f t="shared" ref="Z62:Z68" si="84">+F466*U62/U257</f>
        <v>6245982.8146485677</v>
      </c>
      <c r="AA62" s="45">
        <f t="shared" ref="AA62:AA69" si="85">SUM(W62:Z62)</f>
        <v>38509034.192709394</v>
      </c>
      <c r="AB62" s="46">
        <f t="shared" ref="AB62:AB69" si="86">+R62+W62</f>
        <v>47706787.562777035</v>
      </c>
      <c r="AC62" s="46">
        <f t="shared" si="78"/>
        <v>10001557.830669466</v>
      </c>
      <c r="AD62" s="46">
        <f t="shared" si="78"/>
        <v>756964.43</v>
      </c>
      <c r="AE62" s="46">
        <f t="shared" si="78"/>
        <v>16130412.728247549</v>
      </c>
      <c r="AF62" s="28">
        <f t="shared" ref="AF62:AF69" si="87">SUM(AB62:AE62)</f>
        <v>74595722.55169405</v>
      </c>
    </row>
    <row r="63" spans="1:32" ht="23.25">
      <c r="B63" s="42" t="s">
        <v>211</v>
      </c>
      <c r="C63" s="6">
        <v>230000</v>
      </c>
      <c r="D63" s="375">
        <v>0</v>
      </c>
      <c r="E63" s="375">
        <v>0</v>
      </c>
      <c r="F63" s="373">
        <v>0</v>
      </c>
      <c r="G63" s="374">
        <f t="shared" ref="G63:G69" si="88">SUM(C63:F63)</f>
        <v>230000</v>
      </c>
      <c r="H63" s="43"/>
      <c r="I63" s="28">
        <f t="shared" ref="I63:I69" si="89">+C63+D63</f>
        <v>230000</v>
      </c>
      <c r="J63" s="28">
        <f>+I63*100/I70</f>
        <v>0.95160668538368065</v>
      </c>
      <c r="K63" s="28">
        <f>+H62*J63/100</f>
        <v>100650.09553955281</v>
      </c>
      <c r="L63" s="28">
        <f t="shared" ref="L63:L68" si="90">+C299*C63/C94</f>
        <v>0</v>
      </c>
      <c r="M63" s="28">
        <v>0</v>
      </c>
      <c r="N63" s="28">
        <v>0</v>
      </c>
      <c r="O63" s="28">
        <v>0</v>
      </c>
      <c r="P63" s="45">
        <f t="shared" si="79"/>
        <v>0</v>
      </c>
      <c r="Q63" s="403"/>
      <c r="R63" s="46">
        <f t="shared" si="80"/>
        <v>230000</v>
      </c>
      <c r="S63" s="46">
        <f t="shared" si="76"/>
        <v>0</v>
      </c>
      <c r="T63" s="46">
        <f t="shared" si="81"/>
        <v>0</v>
      </c>
      <c r="U63" s="46">
        <f t="shared" si="82"/>
        <v>100650.09553955281</v>
      </c>
      <c r="V63" s="45">
        <f t="shared" si="83"/>
        <v>330650.0955395528</v>
      </c>
      <c r="W63" s="47">
        <f t="shared" si="77"/>
        <v>29767.86016590727</v>
      </c>
      <c r="X63" s="47">
        <f t="shared" si="77"/>
        <v>0</v>
      </c>
      <c r="Y63" s="47">
        <v>0</v>
      </c>
      <c r="Z63" s="47">
        <f t="shared" si="84"/>
        <v>0</v>
      </c>
      <c r="AA63" s="45">
        <f t="shared" si="85"/>
        <v>29767.86016590727</v>
      </c>
      <c r="AB63" s="46">
        <f t="shared" si="86"/>
        <v>259767.86016590727</v>
      </c>
      <c r="AC63" s="46">
        <f t="shared" si="78"/>
        <v>0</v>
      </c>
      <c r="AD63" s="46">
        <f t="shared" si="78"/>
        <v>0</v>
      </c>
      <c r="AE63" s="46">
        <f t="shared" si="78"/>
        <v>100650.09553955281</v>
      </c>
      <c r="AF63" s="28">
        <f t="shared" si="87"/>
        <v>360417.9557054601</v>
      </c>
    </row>
    <row r="64" spans="1:32">
      <c r="B64" s="42" t="s">
        <v>212</v>
      </c>
      <c r="C64" s="6">
        <v>360000</v>
      </c>
      <c r="D64" s="6">
        <v>0</v>
      </c>
      <c r="E64" s="373">
        <v>0</v>
      </c>
      <c r="F64" s="6">
        <v>0</v>
      </c>
      <c r="G64" s="374">
        <f t="shared" si="88"/>
        <v>360000</v>
      </c>
      <c r="H64" s="43"/>
      <c r="I64" s="28">
        <f t="shared" si="89"/>
        <v>360000</v>
      </c>
      <c r="J64" s="28">
        <f>+I64*100/I70</f>
        <v>1.489471333644022</v>
      </c>
      <c r="K64" s="28">
        <f>+H62*J64/100</f>
        <v>157539.27997495225</v>
      </c>
      <c r="L64" s="28">
        <f t="shared" si="90"/>
        <v>0</v>
      </c>
      <c r="M64" s="28">
        <f>+D300*D64/D95</f>
        <v>0</v>
      </c>
      <c r="N64" s="28">
        <v>0</v>
      </c>
      <c r="O64" s="28">
        <v>0</v>
      </c>
      <c r="P64" s="45">
        <f t="shared" si="79"/>
        <v>0</v>
      </c>
      <c r="Q64" s="403"/>
      <c r="R64" s="46">
        <f t="shared" si="80"/>
        <v>360000</v>
      </c>
      <c r="S64" s="46">
        <f t="shared" si="76"/>
        <v>0</v>
      </c>
      <c r="T64" s="46">
        <f t="shared" si="81"/>
        <v>0</v>
      </c>
      <c r="U64" s="46">
        <f t="shared" si="82"/>
        <v>157539.27997495225</v>
      </c>
      <c r="V64" s="45">
        <f t="shared" si="83"/>
        <v>517539.27997495222</v>
      </c>
      <c r="W64" s="47">
        <f t="shared" si="77"/>
        <v>260976.21616106157</v>
      </c>
      <c r="X64" s="47">
        <f t="shared" si="77"/>
        <v>0</v>
      </c>
      <c r="Y64" s="47">
        <v>0</v>
      </c>
      <c r="Z64" s="47">
        <f t="shared" si="84"/>
        <v>33482.255134021427</v>
      </c>
      <c r="AA64" s="45">
        <f t="shared" si="85"/>
        <v>294458.471295083</v>
      </c>
      <c r="AB64" s="46">
        <f t="shared" si="86"/>
        <v>620976.21616106154</v>
      </c>
      <c r="AC64" s="46">
        <f t="shared" si="78"/>
        <v>0</v>
      </c>
      <c r="AD64" s="46">
        <f t="shared" si="78"/>
        <v>0</v>
      </c>
      <c r="AE64" s="46">
        <f t="shared" si="78"/>
        <v>191021.53510897368</v>
      </c>
      <c r="AF64" s="28">
        <f t="shared" si="87"/>
        <v>811997.75127003528</v>
      </c>
    </row>
    <row r="65" spans="1:32">
      <c r="B65" s="42" t="s">
        <v>213</v>
      </c>
      <c r="C65" s="6">
        <v>488300</v>
      </c>
      <c r="D65" s="6">
        <v>60000</v>
      </c>
      <c r="E65" s="373">
        <v>0</v>
      </c>
      <c r="F65" s="6">
        <v>0</v>
      </c>
      <c r="G65" s="374">
        <f t="shared" si="88"/>
        <v>548300</v>
      </c>
      <c r="H65" s="43"/>
      <c r="I65" s="28">
        <f t="shared" si="89"/>
        <v>548300</v>
      </c>
      <c r="J65" s="28">
        <f>+I65*100/I70</f>
        <v>2.26854758954727</v>
      </c>
      <c r="K65" s="28">
        <f>+H62*J65/100</f>
        <v>239941.07558407306</v>
      </c>
      <c r="L65" s="28">
        <f t="shared" si="90"/>
        <v>0</v>
      </c>
      <c r="M65" s="28">
        <f>+D301*D65/D96</f>
        <v>0</v>
      </c>
      <c r="N65" s="28">
        <v>0</v>
      </c>
      <c r="O65" s="28">
        <v>0</v>
      </c>
      <c r="P65" s="45">
        <f t="shared" si="79"/>
        <v>0</v>
      </c>
      <c r="Q65" s="403"/>
      <c r="R65" s="46">
        <f t="shared" si="80"/>
        <v>488300</v>
      </c>
      <c r="S65" s="46">
        <f t="shared" si="76"/>
        <v>60000</v>
      </c>
      <c r="T65" s="46">
        <f t="shared" si="81"/>
        <v>0</v>
      </c>
      <c r="U65" s="46">
        <f t="shared" si="82"/>
        <v>239941.07558407306</v>
      </c>
      <c r="V65" s="45">
        <f t="shared" si="83"/>
        <v>788241.07558407309</v>
      </c>
      <c r="W65" s="47">
        <f t="shared" si="77"/>
        <v>0</v>
      </c>
      <c r="X65" s="47">
        <f t="shared" si="77"/>
        <v>0</v>
      </c>
      <c r="Y65" s="47">
        <v>0</v>
      </c>
      <c r="Z65" s="47">
        <f t="shared" si="84"/>
        <v>0</v>
      </c>
      <c r="AA65" s="45">
        <f t="shared" si="85"/>
        <v>0</v>
      </c>
      <c r="AB65" s="46">
        <f t="shared" si="86"/>
        <v>488300</v>
      </c>
      <c r="AC65" s="46">
        <f t="shared" si="78"/>
        <v>60000</v>
      </c>
      <c r="AD65" s="46">
        <f t="shared" si="78"/>
        <v>0</v>
      </c>
      <c r="AE65" s="46">
        <f t="shared" si="78"/>
        <v>239941.07558407306</v>
      </c>
      <c r="AF65" s="28">
        <f t="shared" si="87"/>
        <v>788241.07558407309</v>
      </c>
    </row>
    <row r="66" spans="1:32">
      <c r="B66" s="42" t="s">
        <v>214</v>
      </c>
      <c r="C66" s="6">
        <v>264000</v>
      </c>
      <c r="D66" s="6">
        <v>100000</v>
      </c>
      <c r="E66" s="373">
        <v>0</v>
      </c>
      <c r="F66" s="6">
        <v>0</v>
      </c>
      <c r="G66" s="374">
        <f t="shared" si="88"/>
        <v>364000</v>
      </c>
      <c r="H66" s="43"/>
      <c r="I66" s="28">
        <f t="shared" si="89"/>
        <v>364000</v>
      </c>
      <c r="J66" s="28">
        <f>+I66*100/I70</f>
        <v>1.5060210151289555</v>
      </c>
      <c r="K66" s="28">
        <f>+H62*J66/100</f>
        <v>159289.71641911837</v>
      </c>
      <c r="L66" s="28">
        <f t="shared" si="90"/>
        <v>0</v>
      </c>
      <c r="M66" s="28">
        <f>+D302*D66/D97</f>
        <v>0</v>
      </c>
      <c r="N66" s="28">
        <v>0</v>
      </c>
      <c r="O66" s="28">
        <v>0</v>
      </c>
      <c r="P66" s="45">
        <f t="shared" si="79"/>
        <v>0</v>
      </c>
      <c r="Q66" s="403"/>
      <c r="R66" s="46">
        <f t="shared" si="80"/>
        <v>264000</v>
      </c>
      <c r="S66" s="46">
        <f t="shared" si="76"/>
        <v>100000</v>
      </c>
      <c r="T66" s="46">
        <f t="shared" si="81"/>
        <v>0</v>
      </c>
      <c r="U66" s="46">
        <f t="shared" si="82"/>
        <v>159289.71641911837</v>
      </c>
      <c r="V66" s="45">
        <f t="shared" si="83"/>
        <v>523289.71641911834</v>
      </c>
      <c r="W66" s="47">
        <f t="shared" si="77"/>
        <v>0</v>
      </c>
      <c r="X66" s="47">
        <f t="shared" si="77"/>
        <v>0</v>
      </c>
      <c r="Y66" s="47">
        <v>0</v>
      </c>
      <c r="Z66" s="47">
        <f t="shared" si="84"/>
        <v>0</v>
      </c>
      <c r="AA66" s="45">
        <f t="shared" si="85"/>
        <v>0</v>
      </c>
      <c r="AB66" s="46">
        <f t="shared" si="86"/>
        <v>264000</v>
      </c>
      <c r="AC66" s="46">
        <f t="shared" si="78"/>
        <v>100000</v>
      </c>
      <c r="AD66" s="46">
        <f t="shared" si="78"/>
        <v>0</v>
      </c>
      <c r="AE66" s="46">
        <f t="shared" si="78"/>
        <v>159289.71641911837</v>
      </c>
      <c r="AF66" s="28">
        <f t="shared" si="87"/>
        <v>523289.71641911834</v>
      </c>
    </row>
    <row r="67" spans="1:32">
      <c r="B67" s="50" t="s">
        <v>437</v>
      </c>
      <c r="C67" s="28">
        <v>0</v>
      </c>
      <c r="D67" s="28">
        <v>0</v>
      </c>
      <c r="E67" s="40">
        <v>0</v>
      </c>
      <c r="F67" s="28">
        <v>0</v>
      </c>
      <c r="G67" s="374">
        <f t="shared" si="88"/>
        <v>0</v>
      </c>
      <c r="H67" s="43"/>
      <c r="I67" s="28">
        <f t="shared" si="89"/>
        <v>0</v>
      </c>
      <c r="J67" s="28">
        <f>+I67*100/I70</f>
        <v>0</v>
      </c>
      <c r="K67" s="28">
        <f>+H62*J67/100</f>
        <v>0</v>
      </c>
      <c r="L67" s="28">
        <v>0</v>
      </c>
      <c r="M67" s="28">
        <v>0</v>
      </c>
      <c r="N67" s="28">
        <v>0</v>
      </c>
      <c r="O67" s="28">
        <v>0</v>
      </c>
      <c r="P67" s="45">
        <f t="shared" si="79"/>
        <v>0</v>
      </c>
      <c r="Q67" s="403"/>
      <c r="R67" s="46">
        <f t="shared" si="80"/>
        <v>0</v>
      </c>
      <c r="S67" s="46">
        <f t="shared" si="76"/>
        <v>0</v>
      </c>
      <c r="T67" s="46">
        <f t="shared" si="81"/>
        <v>0</v>
      </c>
      <c r="U67" s="46">
        <f t="shared" si="82"/>
        <v>0</v>
      </c>
      <c r="V67" s="45">
        <f t="shared" si="83"/>
        <v>0</v>
      </c>
      <c r="W67" s="47">
        <f>+C471*R67/R262</f>
        <v>0</v>
      </c>
      <c r="X67" s="47">
        <v>0</v>
      </c>
      <c r="Y67" s="47">
        <v>0</v>
      </c>
      <c r="Z67" s="47">
        <v>0</v>
      </c>
      <c r="AA67" s="45">
        <f t="shared" si="85"/>
        <v>0</v>
      </c>
      <c r="AB67" s="46">
        <f t="shared" si="86"/>
        <v>0</v>
      </c>
      <c r="AC67" s="46">
        <f t="shared" si="78"/>
        <v>0</v>
      </c>
      <c r="AD67" s="46">
        <f t="shared" si="78"/>
        <v>0</v>
      </c>
      <c r="AE67" s="46">
        <f t="shared" si="78"/>
        <v>0</v>
      </c>
      <c r="AF67" s="28">
        <f t="shared" si="87"/>
        <v>0</v>
      </c>
    </row>
    <row r="68" spans="1:32">
      <c r="B68" s="50" t="s">
        <v>219</v>
      </c>
      <c r="C68" s="28">
        <v>80000</v>
      </c>
      <c r="D68" s="28">
        <v>0</v>
      </c>
      <c r="E68" s="40">
        <v>0</v>
      </c>
      <c r="F68" s="28">
        <v>0</v>
      </c>
      <c r="G68" s="374">
        <f t="shared" si="88"/>
        <v>80000</v>
      </c>
      <c r="H68" s="43"/>
      <c r="I68" s="28">
        <f t="shared" si="89"/>
        <v>80000</v>
      </c>
      <c r="J68" s="28">
        <f>+I68*100/I70</f>
        <v>0.33099362969867152</v>
      </c>
      <c r="K68" s="28">
        <f>+H62*J68/100</f>
        <v>35008.728883322714</v>
      </c>
      <c r="L68" s="28">
        <f t="shared" si="90"/>
        <v>0</v>
      </c>
      <c r="M68" s="28">
        <v>0</v>
      </c>
      <c r="N68" s="28">
        <v>0</v>
      </c>
      <c r="O68" s="28">
        <v>0</v>
      </c>
      <c r="P68" s="45">
        <f t="shared" si="79"/>
        <v>0</v>
      </c>
      <c r="Q68" s="403"/>
      <c r="R68" s="46">
        <f t="shared" si="80"/>
        <v>80000</v>
      </c>
      <c r="S68" s="46">
        <f t="shared" si="76"/>
        <v>0</v>
      </c>
      <c r="T68" s="46">
        <f t="shared" si="81"/>
        <v>0</v>
      </c>
      <c r="U68" s="46">
        <f t="shared" si="82"/>
        <v>35008.728883322714</v>
      </c>
      <c r="V68" s="45">
        <f t="shared" si="83"/>
        <v>115008.72888332271</v>
      </c>
      <c r="W68" s="47">
        <f>+C472*R68/R263</f>
        <v>65308.218664335924</v>
      </c>
      <c r="X68" s="47">
        <v>0</v>
      </c>
      <c r="Y68" s="47">
        <v>0</v>
      </c>
      <c r="Z68" s="47">
        <f t="shared" si="84"/>
        <v>6759.1425870452385</v>
      </c>
      <c r="AA68" s="45">
        <f t="shared" si="85"/>
        <v>72067.361251381168</v>
      </c>
      <c r="AB68" s="46">
        <f t="shared" si="86"/>
        <v>145308.21866433593</v>
      </c>
      <c r="AC68" s="46">
        <f t="shared" si="78"/>
        <v>0</v>
      </c>
      <c r="AD68" s="46">
        <f t="shared" si="78"/>
        <v>0</v>
      </c>
      <c r="AE68" s="46">
        <f t="shared" si="78"/>
        <v>41767.871470367951</v>
      </c>
      <c r="AF68" s="28">
        <f t="shared" si="87"/>
        <v>187076.09013470387</v>
      </c>
    </row>
    <row r="69" spans="1:32">
      <c r="B69" s="42" t="s">
        <v>216</v>
      </c>
      <c r="C69" s="28">
        <v>0</v>
      </c>
      <c r="D69" s="28">
        <v>0</v>
      </c>
      <c r="E69" s="40">
        <v>0</v>
      </c>
      <c r="F69" s="28">
        <v>0</v>
      </c>
      <c r="G69" s="374">
        <f t="shared" si="88"/>
        <v>0</v>
      </c>
      <c r="H69" s="43"/>
      <c r="I69" s="28">
        <f t="shared" si="89"/>
        <v>0</v>
      </c>
      <c r="J69" s="44"/>
      <c r="K69" s="44"/>
      <c r="L69" s="28">
        <v>0</v>
      </c>
      <c r="M69" s="28">
        <v>0</v>
      </c>
      <c r="N69" s="28">
        <v>0</v>
      </c>
      <c r="O69" s="28">
        <v>0</v>
      </c>
      <c r="P69" s="45">
        <f t="shared" si="79"/>
        <v>0</v>
      </c>
      <c r="Q69" s="403"/>
      <c r="R69" s="46">
        <f t="shared" si="80"/>
        <v>0</v>
      </c>
      <c r="S69" s="46">
        <f t="shared" si="76"/>
        <v>0</v>
      </c>
      <c r="T69" s="46">
        <f t="shared" si="81"/>
        <v>0</v>
      </c>
      <c r="U69" s="46">
        <f t="shared" si="82"/>
        <v>0</v>
      </c>
      <c r="V69" s="45">
        <f t="shared" si="83"/>
        <v>0</v>
      </c>
      <c r="W69" s="47">
        <v>0</v>
      </c>
      <c r="X69" s="47">
        <v>0</v>
      </c>
      <c r="Y69" s="47">
        <v>0</v>
      </c>
      <c r="Z69" s="47">
        <v>0</v>
      </c>
      <c r="AA69" s="45">
        <f t="shared" si="85"/>
        <v>0</v>
      </c>
      <c r="AB69" s="46">
        <f t="shared" si="86"/>
        <v>0</v>
      </c>
      <c r="AC69" s="46">
        <f t="shared" si="78"/>
        <v>0</v>
      </c>
      <c r="AD69" s="46">
        <f t="shared" si="78"/>
        <v>0</v>
      </c>
      <c r="AE69" s="46">
        <f t="shared" si="78"/>
        <v>0</v>
      </c>
      <c r="AF69" s="28">
        <f t="shared" si="87"/>
        <v>0</v>
      </c>
    </row>
    <row r="70" spans="1:32">
      <c r="B70" s="42"/>
      <c r="C70" s="28">
        <f>SUM(C61:C69)</f>
        <v>18478572.23</v>
      </c>
      <c r="D70" s="28">
        <f>SUM(D61:D69)</f>
        <v>5691077.2199999997</v>
      </c>
      <c r="E70" s="28">
        <f t="shared" ref="E70:F70" si="91">SUM(E61:E69)</f>
        <v>0</v>
      </c>
      <c r="F70" s="28">
        <f t="shared" si="91"/>
        <v>10576858.810000001</v>
      </c>
      <c r="G70" s="45">
        <f>SUM(G61:G69)</f>
        <v>34746508.259999998</v>
      </c>
      <c r="H70" s="43"/>
      <c r="I70" s="28">
        <f>SUM(I62:I69)</f>
        <v>24169649.449999999</v>
      </c>
      <c r="J70" s="28">
        <f>SUM(J62:J69)</f>
        <v>99.999999999999986</v>
      </c>
      <c r="K70" s="28">
        <f>SUM(K62:K69)</f>
        <v>10576858.809999999</v>
      </c>
      <c r="L70" s="28">
        <f t="shared" ref="L70:Z70" si="92">SUM(L61:L69)</f>
        <v>2012222.1606882268</v>
      </c>
      <c r="M70" s="28">
        <f t="shared" si="92"/>
        <v>845722.40469745069</v>
      </c>
      <c r="N70" s="28">
        <f t="shared" si="92"/>
        <v>0</v>
      </c>
      <c r="O70" s="28">
        <f t="shared" si="92"/>
        <v>0</v>
      </c>
      <c r="P70" s="28">
        <f t="shared" si="92"/>
        <v>2857944.5653856774</v>
      </c>
      <c r="Q70" s="404">
        <f>SUM(Q61:Q69)</f>
        <v>756964.43</v>
      </c>
      <c r="R70" s="46">
        <f t="shared" si="92"/>
        <v>20490794.390688226</v>
      </c>
      <c r="S70" s="46">
        <f t="shared" si="92"/>
        <v>6536799.6246974505</v>
      </c>
      <c r="T70" s="46">
        <f t="shared" si="92"/>
        <v>756964.43</v>
      </c>
      <c r="U70" s="46">
        <f t="shared" ref="U70" si="93">+K70+O70</f>
        <v>10576858.809999999</v>
      </c>
      <c r="V70" s="51">
        <f t="shared" si="92"/>
        <v>38361417.255385682</v>
      </c>
      <c r="W70" s="46">
        <f t="shared" si="92"/>
        <v>28994345.467080116</v>
      </c>
      <c r="X70" s="46">
        <f t="shared" si="92"/>
        <v>3624758.2059720163</v>
      </c>
      <c r="Y70" s="46">
        <f t="shared" si="92"/>
        <v>0</v>
      </c>
      <c r="Z70" s="46">
        <f t="shared" si="92"/>
        <v>6286224.2123696348</v>
      </c>
      <c r="AA70" s="46">
        <f>SUM(W70:Z70)</f>
        <v>38905327.885421768</v>
      </c>
      <c r="AB70" s="46">
        <f>SUM(AB61:AB69)</f>
        <v>49485139.857768342</v>
      </c>
      <c r="AC70" s="46">
        <f t="shared" ref="AC70:AF70" si="94">SUM(AC61:AC69)</f>
        <v>10161557.830669466</v>
      </c>
      <c r="AD70" s="46">
        <f t="shared" si="94"/>
        <v>756964.43</v>
      </c>
      <c r="AE70" s="46">
        <f t="shared" si="94"/>
        <v>16863083.022369638</v>
      </c>
      <c r="AF70" s="46">
        <f t="shared" si="94"/>
        <v>77266745.14080745</v>
      </c>
    </row>
    <row r="71" spans="1:32">
      <c r="B71" s="58"/>
      <c r="C71" s="27">
        <f>28204500.36-9725928.13</f>
        <v>18478572.229999997</v>
      </c>
      <c r="D71" s="27">
        <f>6542007.9-850930.68</f>
        <v>5691077.2200000007</v>
      </c>
      <c r="E71" s="59">
        <v>0</v>
      </c>
      <c r="F71" s="60">
        <f>9725928.13+850930.68</f>
        <v>10576858.810000001</v>
      </c>
      <c r="G71" s="29">
        <f>SUM(C71:F71)</f>
        <v>34746508.259999998</v>
      </c>
      <c r="R71" s="27"/>
      <c r="S71" s="27"/>
      <c r="T71" s="27"/>
      <c r="U71" s="27"/>
      <c r="V71" s="29"/>
    </row>
    <row r="72" spans="1:32">
      <c r="A72" s="389" t="s">
        <v>204</v>
      </c>
      <c r="B72" s="636" t="s">
        <v>223</v>
      </c>
      <c r="C72" s="636"/>
      <c r="D72" s="636"/>
      <c r="E72" s="636"/>
      <c r="F72" s="636"/>
      <c r="G72" s="636"/>
      <c r="R72" s="27"/>
      <c r="S72" s="27"/>
      <c r="T72" s="27"/>
      <c r="U72" s="27"/>
      <c r="V72" s="29"/>
    </row>
    <row r="73" spans="1:32">
      <c r="B73" s="55" t="s">
        <v>9</v>
      </c>
      <c r="C73" s="40" t="s">
        <v>206</v>
      </c>
      <c r="D73" s="40" t="s">
        <v>207</v>
      </c>
      <c r="E73" s="40" t="s">
        <v>10</v>
      </c>
      <c r="F73" s="40" t="s">
        <v>11</v>
      </c>
      <c r="G73" s="48" t="s">
        <v>208</v>
      </c>
      <c r="H73" s="43"/>
      <c r="I73" s="44"/>
      <c r="J73" s="44"/>
      <c r="K73" s="44"/>
      <c r="L73" s="28"/>
      <c r="M73" s="28"/>
      <c r="N73" s="28"/>
      <c r="O73" s="28"/>
      <c r="P73" s="45"/>
      <c r="Q73" s="403"/>
      <c r="R73" s="46"/>
      <c r="S73" s="28"/>
      <c r="T73" s="28"/>
      <c r="U73" s="28"/>
      <c r="V73" s="45"/>
      <c r="W73" s="56"/>
      <c r="X73" s="44"/>
      <c r="Y73" s="44"/>
      <c r="Z73" s="44"/>
      <c r="AA73" s="57"/>
      <c r="AB73" s="56"/>
      <c r="AC73" s="44"/>
      <c r="AD73" s="44"/>
      <c r="AE73" s="44"/>
      <c r="AF73" s="44"/>
    </row>
    <row r="74" spans="1:32">
      <c r="B74" s="42" t="s">
        <v>209</v>
      </c>
      <c r="C74" s="6"/>
      <c r="D74" s="6"/>
      <c r="E74" s="373">
        <v>0</v>
      </c>
      <c r="F74" s="6">
        <v>0</v>
      </c>
      <c r="G74" s="374">
        <f>SUM(C74:F74)</f>
        <v>0</v>
      </c>
      <c r="H74" s="43"/>
      <c r="I74" s="44"/>
      <c r="J74" s="44"/>
      <c r="K74" s="44"/>
      <c r="L74" s="28">
        <f>+C297*C74/C92</f>
        <v>0</v>
      </c>
      <c r="M74" s="28">
        <f>+D297*D74/D92</f>
        <v>0</v>
      </c>
      <c r="N74" s="28">
        <v>0</v>
      </c>
      <c r="O74" s="28">
        <v>0</v>
      </c>
      <c r="P74" s="45">
        <f>SUM(L74:O74)</f>
        <v>0</v>
      </c>
      <c r="Q74" s="403"/>
      <c r="R74" s="46">
        <f>+C74+L74</f>
        <v>0</v>
      </c>
      <c r="S74" s="46">
        <f t="shared" ref="S74:S82" si="95">+D74+M74</f>
        <v>0</v>
      </c>
      <c r="T74" s="46">
        <f>+E74+N74+Q74</f>
        <v>0</v>
      </c>
      <c r="U74" s="46">
        <f>+K74</f>
        <v>0</v>
      </c>
      <c r="V74" s="45">
        <f>SUM(R74:U74)</f>
        <v>0</v>
      </c>
      <c r="W74" s="47">
        <f t="shared" ref="W74:X79" si="96">+C465*R74/R256</f>
        <v>0</v>
      </c>
      <c r="X74" s="47">
        <f t="shared" si="96"/>
        <v>0</v>
      </c>
      <c r="Y74" s="47">
        <v>0</v>
      </c>
      <c r="Z74" s="47">
        <f>+F465*U74/U256</f>
        <v>0</v>
      </c>
      <c r="AA74" s="45">
        <f t="shared" ref="AA74:AA83" si="97">SUM(W74:Z74)</f>
        <v>0</v>
      </c>
      <c r="AB74" s="46">
        <f>+R74+W74</f>
        <v>0</v>
      </c>
      <c r="AC74" s="46">
        <f t="shared" ref="AC74:AE82" si="98">+S74+X74</f>
        <v>0</v>
      </c>
      <c r="AD74" s="46">
        <f t="shared" si="98"/>
        <v>0</v>
      </c>
      <c r="AE74" s="46">
        <f t="shared" si="98"/>
        <v>0</v>
      </c>
      <c r="AF74" s="28">
        <f>SUM(AB74:AE74)</f>
        <v>0</v>
      </c>
    </row>
    <row r="75" spans="1:32">
      <c r="B75" s="42" t="s">
        <v>210</v>
      </c>
      <c r="C75" s="6">
        <f>14231262.89+4519455.38</f>
        <v>18750718.27</v>
      </c>
      <c r="D75" s="6">
        <f>2678231.98+300080</f>
        <v>2978311.98</v>
      </c>
      <c r="E75" s="373">
        <v>0</v>
      </c>
      <c r="F75" s="6">
        <v>9062732.7100000009</v>
      </c>
      <c r="G75" s="374">
        <f>SUM(C75:F75)</f>
        <v>30791762.960000001</v>
      </c>
      <c r="H75" s="43">
        <f>+F83</f>
        <v>9062732.7100000009</v>
      </c>
      <c r="I75" s="28">
        <f>+C75+D75</f>
        <v>21729030.25</v>
      </c>
      <c r="J75" s="28">
        <f>+I75*100/I83</f>
        <v>89.579194907436658</v>
      </c>
      <c r="K75" s="28">
        <f>+H75*J75/100</f>
        <v>8118322.9982309174</v>
      </c>
      <c r="L75" s="28">
        <f>+C298*C75/C93</f>
        <v>2212125.271156956</v>
      </c>
      <c r="M75" s="28">
        <f>+D298*D75/D93</f>
        <v>455395.0468376982</v>
      </c>
      <c r="N75" s="28">
        <v>0</v>
      </c>
      <c r="O75" s="28">
        <v>0</v>
      </c>
      <c r="P75" s="45">
        <f t="shared" ref="P75:P82" si="99">SUM(L75:O75)</f>
        <v>2667520.3179946542</v>
      </c>
      <c r="Q75" s="403">
        <v>448639.91</v>
      </c>
      <c r="R75" s="46">
        <f>+C75+L75</f>
        <v>20962843.541156955</v>
      </c>
      <c r="S75" s="46">
        <f t="shared" si="95"/>
        <v>3433707.0268376982</v>
      </c>
      <c r="T75" s="46">
        <f t="shared" ref="T75:T82" si="100">+E75+N75+Q75</f>
        <v>448639.91</v>
      </c>
      <c r="U75" s="46">
        <f t="shared" ref="U75:U82" si="101">+K75</f>
        <v>8118322.9982309174</v>
      </c>
      <c r="V75" s="45">
        <f t="shared" ref="V75:V82" si="102">SUM(R75:U75)</f>
        <v>32963513.47622557</v>
      </c>
      <c r="W75" s="47">
        <f t="shared" si="96"/>
        <v>31483348.750672579</v>
      </c>
      <c r="X75" s="47">
        <f t="shared" si="96"/>
        <v>1951818.8519251521</v>
      </c>
      <c r="Y75" s="47">
        <v>0</v>
      </c>
      <c r="Z75" s="47">
        <f t="shared" ref="Z75:Z81" si="103">+F466*U75/U257</f>
        <v>5129977.7907225657</v>
      </c>
      <c r="AA75" s="45">
        <f t="shared" si="97"/>
        <v>38565145.3933203</v>
      </c>
      <c r="AB75" s="46">
        <f t="shared" ref="AB75:AB82" si="104">+R75+W75</f>
        <v>52446192.291829534</v>
      </c>
      <c r="AC75" s="46">
        <f t="shared" si="98"/>
        <v>5385525.8787628505</v>
      </c>
      <c r="AD75" s="46">
        <f t="shared" si="98"/>
        <v>448639.91</v>
      </c>
      <c r="AE75" s="46">
        <f t="shared" si="98"/>
        <v>13248300.788953483</v>
      </c>
      <c r="AF75" s="28">
        <f t="shared" ref="AF75:AF82" si="105">SUM(AB75:AE75)</f>
        <v>71528658.869545862</v>
      </c>
    </row>
    <row r="76" spans="1:32" ht="23.25">
      <c r="B76" s="42" t="s">
        <v>211</v>
      </c>
      <c r="C76" s="6">
        <v>265513</v>
      </c>
      <c r="D76" s="373">
        <v>0</v>
      </c>
      <c r="E76" s="375">
        <v>0</v>
      </c>
      <c r="F76" s="373">
        <v>0</v>
      </c>
      <c r="G76" s="374">
        <f t="shared" ref="G76:G82" si="106">SUM(C76:F76)</f>
        <v>265513</v>
      </c>
      <c r="H76" s="43"/>
      <c r="I76" s="28">
        <f t="shared" ref="I76:I82" si="107">+C76+D76</f>
        <v>265513</v>
      </c>
      <c r="J76" s="28">
        <f>+I76*100/I83</f>
        <v>1.0945928328972818</v>
      </c>
      <c r="K76" s="28">
        <f>+H75*J76/100</f>
        <v>99200.02270829762</v>
      </c>
      <c r="L76" s="28">
        <f t="shared" ref="L76:L81" si="108">+C299*C76/C94</f>
        <v>0</v>
      </c>
      <c r="M76" s="28">
        <v>0</v>
      </c>
      <c r="N76" s="28">
        <v>0</v>
      </c>
      <c r="O76" s="28">
        <v>0</v>
      </c>
      <c r="P76" s="45">
        <f t="shared" si="99"/>
        <v>0</v>
      </c>
      <c r="Q76" s="403"/>
      <c r="R76" s="46">
        <f t="shared" ref="R76:R82" si="109">+C76+L76</f>
        <v>265513</v>
      </c>
      <c r="S76" s="46">
        <f t="shared" si="95"/>
        <v>0</v>
      </c>
      <c r="T76" s="46">
        <f t="shared" si="100"/>
        <v>0</v>
      </c>
      <c r="U76" s="46">
        <f t="shared" si="101"/>
        <v>99200.02270829762</v>
      </c>
      <c r="V76" s="45">
        <f t="shared" si="102"/>
        <v>364713.02270829759</v>
      </c>
      <c r="W76" s="47">
        <f t="shared" si="96"/>
        <v>34364.147201002335</v>
      </c>
      <c r="X76" s="47">
        <f t="shared" si="96"/>
        <v>0</v>
      </c>
      <c r="Y76" s="47">
        <v>0</v>
      </c>
      <c r="Z76" s="47">
        <f t="shared" si="103"/>
        <v>0</v>
      </c>
      <c r="AA76" s="45">
        <f t="shared" si="97"/>
        <v>34364.147201002335</v>
      </c>
      <c r="AB76" s="46">
        <f t="shared" si="104"/>
        <v>299877.14720100234</v>
      </c>
      <c r="AC76" s="46">
        <f t="shared" si="98"/>
        <v>0</v>
      </c>
      <c r="AD76" s="46">
        <f t="shared" si="98"/>
        <v>0</v>
      </c>
      <c r="AE76" s="46">
        <f t="shared" si="98"/>
        <v>99200.02270829762</v>
      </c>
      <c r="AF76" s="28">
        <f t="shared" si="105"/>
        <v>399077.16990929993</v>
      </c>
    </row>
    <row r="77" spans="1:32">
      <c r="B77" s="42" t="s">
        <v>212</v>
      </c>
      <c r="C77" s="6">
        <v>470000</v>
      </c>
      <c r="D77" s="6">
        <v>0</v>
      </c>
      <c r="E77" s="373">
        <v>0</v>
      </c>
      <c r="F77" s="6">
        <v>0</v>
      </c>
      <c r="G77" s="374">
        <f t="shared" si="106"/>
        <v>470000</v>
      </c>
      <c r="H77" s="43"/>
      <c r="I77" s="28">
        <f t="shared" si="107"/>
        <v>470000</v>
      </c>
      <c r="J77" s="28">
        <f>+I77*100/I83</f>
        <v>1.9376024204529436</v>
      </c>
      <c r="K77" s="28">
        <f>+H75*J77/100</f>
        <v>175599.72834814069</v>
      </c>
      <c r="L77" s="28">
        <f t="shared" si="108"/>
        <v>0</v>
      </c>
      <c r="M77" s="28">
        <f>+D300*D77/D95</f>
        <v>0</v>
      </c>
      <c r="N77" s="28">
        <v>0</v>
      </c>
      <c r="O77" s="28">
        <v>0</v>
      </c>
      <c r="P77" s="45">
        <f t="shared" si="99"/>
        <v>0</v>
      </c>
      <c r="Q77" s="403"/>
      <c r="R77" s="46">
        <f t="shared" si="109"/>
        <v>470000</v>
      </c>
      <c r="S77" s="46">
        <f t="shared" si="95"/>
        <v>0</v>
      </c>
      <c r="T77" s="46">
        <f t="shared" si="100"/>
        <v>0</v>
      </c>
      <c r="U77" s="46">
        <f t="shared" si="101"/>
        <v>175599.72834814069</v>
      </c>
      <c r="V77" s="45">
        <f t="shared" si="102"/>
        <v>645599.72834814072</v>
      </c>
      <c r="W77" s="47">
        <f t="shared" si="96"/>
        <v>340718.94887694152</v>
      </c>
      <c r="X77" s="47">
        <f t="shared" si="96"/>
        <v>0</v>
      </c>
      <c r="Y77" s="47">
        <v>0</v>
      </c>
      <c r="Z77" s="47">
        <f t="shared" si="103"/>
        <v>37320.69174717633</v>
      </c>
      <c r="AA77" s="45">
        <f t="shared" si="97"/>
        <v>378039.64062411786</v>
      </c>
      <c r="AB77" s="46">
        <f t="shared" si="104"/>
        <v>810718.94887694158</v>
      </c>
      <c r="AC77" s="46">
        <f t="shared" si="98"/>
        <v>0</v>
      </c>
      <c r="AD77" s="46">
        <f t="shared" si="98"/>
        <v>0</v>
      </c>
      <c r="AE77" s="46">
        <f t="shared" si="98"/>
        <v>212920.42009531701</v>
      </c>
      <c r="AF77" s="28">
        <f t="shared" si="105"/>
        <v>1023639.3689722586</v>
      </c>
    </row>
    <row r="78" spans="1:32">
      <c r="B78" s="42" t="s">
        <v>213</v>
      </c>
      <c r="C78" s="6">
        <v>196300</v>
      </c>
      <c r="D78" s="6">
        <v>99570</v>
      </c>
      <c r="E78" s="373">
        <v>0</v>
      </c>
      <c r="F78" s="6">
        <v>0</v>
      </c>
      <c r="G78" s="374">
        <f t="shared" si="106"/>
        <v>295870</v>
      </c>
      <c r="H78" s="43"/>
      <c r="I78" s="28">
        <f t="shared" si="107"/>
        <v>295870</v>
      </c>
      <c r="J78" s="28">
        <f>+I78*100/I83</f>
        <v>1.219741336466835</v>
      </c>
      <c r="K78" s="28">
        <f>+H75*J78/100</f>
        <v>110541.89707737103</v>
      </c>
      <c r="L78" s="28">
        <f t="shared" si="108"/>
        <v>0</v>
      </c>
      <c r="M78" s="28">
        <f>+D301*D78/D96</f>
        <v>0</v>
      </c>
      <c r="N78" s="28">
        <v>0</v>
      </c>
      <c r="O78" s="28">
        <v>0</v>
      </c>
      <c r="P78" s="45">
        <f t="shared" si="99"/>
        <v>0</v>
      </c>
      <c r="Q78" s="403"/>
      <c r="R78" s="46">
        <f t="shared" si="109"/>
        <v>196300</v>
      </c>
      <c r="S78" s="46">
        <f t="shared" si="95"/>
        <v>99570</v>
      </c>
      <c r="T78" s="46">
        <f t="shared" si="100"/>
        <v>0</v>
      </c>
      <c r="U78" s="46">
        <f t="shared" si="101"/>
        <v>110541.89707737103</v>
      </c>
      <c r="V78" s="45">
        <f t="shared" si="102"/>
        <v>406411.89707737102</v>
      </c>
      <c r="W78" s="47">
        <f t="shared" si="96"/>
        <v>0</v>
      </c>
      <c r="X78" s="47">
        <f t="shared" si="96"/>
        <v>0</v>
      </c>
      <c r="Y78" s="47">
        <v>0</v>
      </c>
      <c r="Z78" s="47">
        <f t="shared" si="103"/>
        <v>0</v>
      </c>
      <c r="AA78" s="45">
        <f t="shared" si="97"/>
        <v>0</v>
      </c>
      <c r="AB78" s="46">
        <f t="shared" si="104"/>
        <v>196300</v>
      </c>
      <c r="AC78" s="46">
        <f t="shared" si="98"/>
        <v>99570</v>
      </c>
      <c r="AD78" s="46">
        <f t="shared" si="98"/>
        <v>0</v>
      </c>
      <c r="AE78" s="46">
        <f t="shared" si="98"/>
        <v>110541.89707737103</v>
      </c>
      <c r="AF78" s="28">
        <f t="shared" si="105"/>
        <v>406411.89707737102</v>
      </c>
    </row>
    <row r="79" spans="1:32">
      <c r="B79" s="42" t="s">
        <v>214</v>
      </c>
      <c r="C79" s="6">
        <v>760400</v>
      </c>
      <c r="D79" s="6">
        <v>61960</v>
      </c>
      <c r="E79" s="373">
        <v>0</v>
      </c>
      <c r="F79" s="6">
        <v>0</v>
      </c>
      <c r="G79" s="374">
        <f t="shared" si="106"/>
        <v>822360</v>
      </c>
      <c r="H79" s="43"/>
      <c r="I79" s="28">
        <f t="shared" si="107"/>
        <v>822360</v>
      </c>
      <c r="J79" s="28">
        <f>+I79*100/I83</f>
        <v>3.3902270776248566</v>
      </c>
      <c r="K79" s="28">
        <f>+H75*J79/100</f>
        <v>307247.21830718499</v>
      </c>
      <c r="L79" s="28">
        <f t="shared" si="108"/>
        <v>0</v>
      </c>
      <c r="M79" s="28">
        <f>+D302*D79/D97</f>
        <v>0</v>
      </c>
      <c r="N79" s="28">
        <v>0</v>
      </c>
      <c r="O79" s="28">
        <v>0</v>
      </c>
      <c r="P79" s="45">
        <f t="shared" si="99"/>
        <v>0</v>
      </c>
      <c r="Q79" s="403"/>
      <c r="R79" s="46">
        <f t="shared" si="109"/>
        <v>760400</v>
      </c>
      <c r="S79" s="46">
        <f t="shared" si="95"/>
        <v>61960</v>
      </c>
      <c r="T79" s="46">
        <f t="shared" si="100"/>
        <v>0</v>
      </c>
      <c r="U79" s="46">
        <f t="shared" si="101"/>
        <v>307247.21830718499</v>
      </c>
      <c r="V79" s="45">
        <f t="shared" si="102"/>
        <v>1129607.218307185</v>
      </c>
      <c r="W79" s="47">
        <f t="shared" si="96"/>
        <v>0</v>
      </c>
      <c r="X79" s="47">
        <f t="shared" si="96"/>
        <v>0</v>
      </c>
      <c r="Y79" s="47">
        <v>0</v>
      </c>
      <c r="Z79" s="47">
        <f t="shared" si="103"/>
        <v>0</v>
      </c>
      <c r="AA79" s="45">
        <f t="shared" si="97"/>
        <v>0</v>
      </c>
      <c r="AB79" s="46">
        <f t="shared" si="104"/>
        <v>760400</v>
      </c>
      <c r="AC79" s="46">
        <f t="shared" si="98"/>
        <v>61960</v>
      </c>
      <c r="AD79" s="46">
        <f t="shared" si="98"/>
        <v>0</v>
      </c>
      <c r="AE79" s="46">
        <f t="shared" si="98"/>
        <v>307247.21830718499</v>
      </c>
      <c r="AF79" s="28">
        <f t="shared" si="105"/>
        <v>1129607.218307185</v>
      </c>
    </row>
    <row r="80" spans="1:32">
      <c r="B80" s="50" t="s">
        <v>437</v>
      </c>
      <c r="C80" s="28">
        <v>0</v>
      </c>
      <c r="D80" s="28">
        <v>0</v>
      </c>
      <c r="E80" s="40">
        <v>0</v>
      </c>
      <c r="F80" s="28">
        <v>0</v>
      </c>
      <c r="G80" s="374">
        <f t="shared" si="106"/>
        <v>0</v>
      </c>
      <c r="H80" s="43"/>
      <c r="I80" s="28">
        <f t="shared" si="107"/>
        <v>0</v>
      </c>
      <c r="J80" s="28">
        <f>+I80*100/I83</f>
        <v>0</v>
      </c>
      <c r="K80" s="28">
        <f>+H75*J80/100</f>
        <v>0</v>
      </c>
      <c r="L80" s="28">
        <v>0</v>
      </c>
      <c r="M80" s="28">
        <v>0</v>
      </c>
      <c r="N80" s="28">
        <v>0</v>
      </c>
      <c r="O80" s="28">
        <v>0</v>
      </c>
      <c r="P80" s="45">
        <f t="shared" si="99"/>
        <v>0</v>
      </c>
      <c r="Q80" s="403"/>
      <c r="R80" s="46">
        <f t="shared" si="109"/>
        <v>0</v>
      </c>
      <c r="S80" s="46">
        <f t="shared" si="95"/>
        <v>0</v>
      </c>
      <c r="T80" s="46">
        <f t="shared" si="100"/>
        <v>0</v>
      </c>
      <c r="U80" s="46">
        <f t="shared" si="101"/>
        <v>0</v>
      </c>
      <c r="V80" s="45">
        <f t="shared" si="102"/>
        <v>0</v>
      </c>
      <c r="W80" s="47">
        <f>+C471*R80/R262</f>
        <v>0</v>
      </c>
      <c r="X80" s="47">
        <v>0</v>
      </c>
      <c r="Y80" s="47">
        <v>0</v>
      </c>
      <c r="Z80" s="47">
        <v>0</v>
      </c>
      <c r="AA80" s="45">
        <f t="shared" si="97"/>
        <v>0</v>
      </c>
      <c r="AB80" s="46">
        <f t="shared" si="104"/>
        <v>0</v>
      </c>
      <c r="AC80" s="46">
        <f t="shared" si="98"/>
        <v>0</v>
      </c>
      <c r="AD80" s="46">
        <f t="shared" si="98"/>
        <v>0</v>
      </c>
      <c r="AE80" s="46">
        <f t="shared" si="98"/>
        <v>0</v>
      </c>
      <c r="AF80" s="28">
        <f t="shared" si="105"/>
        <v>0</v>
      </c>
    </row>
    <row r="81" spans="2:32">
      <c r="B81" s="50" t="s">
        <v>219</v>
      </c>
      <c r="C81" s="28">
        <v>674009</v>
      </c>
      <c r="D81" s="28">
        <v>0</v>
      </c>
      <c r="E81" s="40">
        <v>0</v>
      </c>
      <c r="F81" s="28">
        <v>0</v>
      </c>
      <c r="G81" s="374">
        <f t="shared" si="106"/>
        <v>674009</v>
      </c>
      <c r="H81" s="43"/>
      <c r="I81" s="28">
        <f t="shared" si="107"/>
        <v>674009</v>
      </c>
      <c r="J81" s="28">
        <f>+I81*100/I83</f>
        <v>2.7786414251214215</v>
      </c>
      <c r="K81" s="28">
        <f>+H75*J81/100</f>
        <v>251820.84532808926</v>
      </c>
      <c r="L81" s="28">
        <f t="shared" si="108"/>
        <v>0</v>
      </c>
      <c r="M81" s="28">
        <v>0</v>
      </c>
      <c r="N81" s="28">
        <v>0</v>
      </c>
      <c r="O81" s="28">
        <v>0</v>
      </c>
      <c r="P81" s="45">
        <f t="shared" si="99"/>
        <v>0</v>
      </c>
      <c r="Q81" s="403"/>
      <c r="R81" s="46">
        <f t="shared" si="109"/>
        <v>674009</v>
      </c>
      <c r="S81" s="46">
        <f t="shared" si="95"/>
        <v>0</v>
      </c>
      <c r="T81" s="46">
        <f t="shared" si="100"/>
        <v>0</v>
      </c>
      <c r="U81" s="46">
        <f t="shared" si="101"/>
        <v>251820.84532808926</v>
      </c>
      <c r="V81" s="45">
        <f t="shared" si="102"/>
        <v>925829.84532808932</v>
      </c>
      <c r="W81" s="47">
        <f>+C472*R81/R263</f>
        <v>550229.08942162991</v>
      </c>
      <c r="X81" s="47">
        <v>0</v>
      </c>
      <c r="Y81" s="47">
        <v>0</v>
      </c>
      <c r="Z81" s="47">
        <f t="shared" si="103"/>
        <v>48619.103128124567</v>
      </c>
      <c r="AA81" s="45">
        <f t="shared" si="97"/>
        <v>598848.19254975452</v>
      </c>
      <c r="AB81" s="46">
        <f t="shared" si="104"/>
        <v>1224238.0894216299</v>
      </c>
      <c r="AC81" s="46">
        <f t="shared" si="98"/>
        <v>0</v>
      </c>
      <c r="AD81" s="46">
        <f t="shared" si="98"/>
        <v>0</v>
      </c>
      <c r="AE81" s="46">
        <f t="shared" si="98"/>
        <v>300439.94845621381</v>
      </c>
      <c r="AF81" s="28">
        <f t="shared" si="105"/>
        <v>1524678.0378778437</v>
      </c>
    </row>
    <row r="82" spans="2:32">
      <c r="B82" s="42" t="s">
        <v>216</v>
      </c>
      <c r="C82" s="28">
        <v>0</v>
      </c>
      <c r="D82" s="28">
        <v>0</v>
      </c>
      <c r="E82" s="40">
        <v>0</v>
      </c>
      <c r="F82" s="28">
        <v>0</v>
      </c>
      <c r="G82" s="374">
        <f t="shared" si="106"/>
        <v>0</v>
      </c>
      <c r="H82" s="43"/>
      <c r="I82" s="28">
        <f t="shared" si="107"/>
        <v>0</v>
      </c>
      <c r="J82" s="44"/>
      <c r="K82" s="44"/>
      <c r="L82" s="28">
        <v>0</v>
      </c>
      <c r="M82" s="28">
        <v>0</v>
      </c>
      <c r="N82" s="28">
        <v>0</v>
      </c>
      <c r="O82" s="28">
        <v>0</v>
      </c>
      <c r="P82" s="45">
        <f t="shared" si="99"/>
        <v>0</v>
      </c>
      <c r="Q82" s="403"/>
      <c r="R82" s="46">
        <f t="shared" si="109"/>
        <v>0</v>
      </c>
      <c r="S82" s="46">
        <f t="shared" si="95"/>
        <v>0</v>
      </c>
      <c r="T82" s="46">
        <f t="shared" si="100"/>
        <v>0</v>
      </c>
      <c r="U82" s="46">
        <f t="shared" si="101"/>
        <v>0</v>
      </c>
      <c r="V82" s="45">
        <f t="shared" si="102"/>
        <v>0</v>
      </c>
      <c r="W82" s="47">
        <v>0</v>
      </c>
      <c r="X82" s="47">
        <v>0</v>
      </c>
      <c r="Y82" s="47">
        <v>0</v>
      </c>
      <c r="Z82" s="47">
        <v>0</v>
      </c>
      <c r="AA82" s="45">
        <f t="shared" si="97"/>
        <v>0</v>
      </c>
      <c r="AB82" s="46">
        <f t="shared" si="104"/>
        <v>0</v>
      </c>
      <c r="AC82" s="46">
        <f t="shared" si="98"/>
        <v>0</v>
      </c>
      <c r="AD82" s="46">
        <f t="shared" si="98"/>
        <v>0</v>
      </c>
      <c r="AE82" s="46">
        <f t="shared" si="98"/>
        <v>0</v>
      </c>
      <c r="AF82" s="28">
        <f t="shared" si="105"/>
        <v>0</v>
      </c>
    </row>
    <row r="83" spans="2:32">
      <c r="B83" s="42"/>
      <c r="C83" s="28">
        <f>SUM(C74:C82)</f>
        <v>21116940.27</v>
      </c>
      <c r="D83" s="28">
        <f>SUM(D74:D82)</f>
        <v>3139841.98</v>
      </c>
      <c r="E83" s="28">
        <f t="shared" ref="E83:F83" si="110">SUM(E74:E82)</f>
        <v>0</v>
      </c>
      <c r="F83" s="28">
        <f t="shared" si="110"/>
        <v>9062732.7100000009</v>
      </c>
      <c r="G83" s="45">
        <f>SUM(G74:G82)</f>
        <v>33319514.960000001</v>
      </c>
      <c r="H83" s="43"/>
      <c r="I83" s="28">
        <f>SUM(I75:I82)</f>
        <v>24256782.25</v>
      </c>
      <c r="J83" s="28">
        <f>SUM(J75:J82)</f>
        <v>100</v>
      </c>
      <c r="K83" s="28">
        <f>SUM(K75:K82)</f>
        <v>9062732.7100000009</v>
      </c>
      <c r="L83" s="28">
        <f t="shared" ref="L83:Z83" si="111">SUM(L74:L82)</f>
        <v>2212125.271156956</v>
      </c>
      <c r="M83" s="28">
        <f t="shared" si="111"/>
        <v>455395.0468376982</v>
      </c>
      <c r="N83" s="28">
        <f t="shared" si="111"/>
        <v>0</v>
      </c>
      <c r="O83" s="28">
        <f t="shared" si="111"/>
        <v>0</v>
      </c>
      <c r="P83" s="28">
        <f t="shared" si="111"/>
        <v>2667520.3179946542</v>
      </c>
      <c r="Q83" s="404">
        <f>SUM(Q74:Q82)</f>
        <v>448639.91</v>
      </c>
      <c r="R83" s="46">
        <f t="shared" si="111"/>
        <v>23329065.541156955</v>
      </c>
      <c r="S83" s="46">
        <f t="shared" si="111"/>
        <v>3595237.0268376982</v>
      </c>
      <c r="T83" s="46">
        <f t="shared" si="111"/>
        <v>448639.91</v>
      </c>
      <c r="U83" s="46">
        <f t="shared" si="111"/>
        <v>9062732.7100000009</v>
      </c>
      <c r="V83" s="51">
        <f t="shared" si="111"/>
        <v>36435675.187994659</v>
      </c>
      <c r="W83" s="46">
        <f t="shared" si="111"/>
        <v>32408660.93617215</v>
      </c>
      <c r="X83" s="28">
        <f t="shared" si="111"/>
        <v>1951818.8519251521</v>
      </c>
      <c r="Y83" s="28">
        <f t="shared" si="111"/>
        <v>0</v>
      </c>
      <c r="Z83" s="28">
        <f t="shared" si="111"/>
        <v>5215917.5855978671</v>
      </c>
      <c r="AA83" s="45">
        <f t="shared" si="97"/>
        <v>39576397.373695165</v>
      </c>
      <c r="AB83" s="46">
        <f>SUM(AB74:AB82)</f>
        <v>55737726.477329105</v>
      </c>
      <c r="AC83" s="46">
        <f t="shared" ref="AC83:AF83" si="112">SUM(AC74:AC82)</f>
        <v>5547055.8787628505</v>
      </c>
      <c r="AD83" s="46">
        <f t="shared" si="112"/>
        <v>448639.91</v>
      </c>
      <c r="AE83" s="46">
        <f t="shared" si="112"/>
        <v>14278650.295597866</v>
      </c>
      <c r="AF83" s="46">
        <f t="shared" si="112"/>
        <v>76012072.561689809</v>
      </c>
    </row>
    <row r="84" spans="2:32">
      <c r="B84" s="52"/>
      <c r="C84" s="33">
        <f>29736670.23-8619729.96</f>
        <v>21116940.27</v>
      </c>
      <c r="D84" s="33">
        <f>3582844.73-443002.75</f>
        <v>3139841.98</v>
      </c>
      <c r="E84" s="33">
        <v>0</v>
      </c>
      <c r="F84" s="33">
        <f>8619729.96+443002.75</f>
        <v>9062732.7100000009</v>
      </c>
      <c r="G84" s="29">
        <f>SUM(C84:F84)</f>
        <v>33319514.960000001</v>
      </c>
      <c r="I84" s="27"/>
      <c r="J84" s="27"/>
      <c r="K84" s="27"/>
      <c r="R84" s="27"/>
      <c r="S84" s="27"/>
      <c r="T84" s="27"/>
      <c r="U84" s="27"/>
      <c r="V84" s="29"/>
    </row>
    <row r="85" spans="2:32">
      <c r="B85" s="52"/>
      <c r="C85" s="33"/>
      <c r="D85" s="33"/>
      <c r="E85" s="33"/>
      <c r="F85" s="33"/>
      <c r="G85" s="29"/>
      <c r="I85" s="27"/>
      <c r="J85" s="27"/>
      <c r="K85" s="27"/>
      <c r="R85" s="27"/>
      <c r="S85" s="27"/>
      <c r="T85" s="27"/>
      <c r="U85" s="27"/>
      <c r="V85" s="29"/>
    </row>
    <row r="86" spans="2:32">
      <c r="B86" s="52"/>
      <c r="C86" s="33"/>
      <c r="D86" s="33"/>
      <c r="E86" s="33"/>
      <c r="F86" s="33"/>
      <c r="G86" s="33"/>
      <c r="I86" s="27"/>
      <c r="J86" s="27"/>
      <c r="K86" s="27"/>
      <c r="R86" s="27"/>
      <c r="S86" s="27"/>
      <c r="T86" s="27"/>
      <c r="U86" s="27"/>
      <c r="V86" s="29"/>
    </row>
    <row r="87" spans="2:32">
      <c r="B87" s="52"/>
      <c r="C87" s="33"/>
      <c r="D87" s="33"/>
      <c r="E87" s="33"/>
      <c r="F87" s="33"/>
      <c r="G87" s="33"/>
      <c r="I87" s="27"/>
      <c r="J87" s="27"/>
      <c r="K87" s="27"/>
      <c r="R87" s="27"/>
      <c r="S87" s="27"/>
      <c r="T87" s="27"/>
      <c r="U87" s="27"/>
      <c r="V87" s="29"/>
    </row>
    <row r="88" spans="2:32">
      <c r="B88" s="52"/>
      <c r="C88" s="33"/>
      <c r="D88" s="33"/>
      <c r="E88" s="33"/>
      <c r="F88" s="33"/>
      <c r="G88" s="33"/>
      <c r="I88" s="27"/>
      <c r="J88" s="27"/>
      <c r="K88" s="27"/>
      <c r="R88" s="27"/>
      <c r="S88" s="27"/>
      <c r="T88" s="27"/>
      <c r="U88" s="27"/>
      <c r="V88" s="29"/>
    </row>
    <row r="89" spans="2:32">
      <c r="B89" s="52"/>
      <c r="C89" s="33"/>
      <c r="D89" s="33"/>
      <c r="E89" s="33"/>
      <c r="F89" s="33"/>
      <c r="G89" s="33"/>
      <c r="I89" s="27"/>
      <c r="J89" s="27"/>
      <c r="K89" s="27"/>
      <c r="R89" s="27"/>
      <c r="S89" s="27"/>
      <c r="T89" s="27"/>
      <c r="U89" s="27"/>
      <c r="V89" s="29"/>
    </row>
    <row r="90" spans="2:32">
      <c r="B90" s="636" t="s">
        <v>268</v>
      </c>
      <c r="C90" s="636"/>
      <c r="D90" s="636"/>
      <c r="E90" s="636"/>
      <c r="F90" s="636"/>
      <c r="G90" s="636"/>
      <c r="I90" s="27"/>
      <c r="J90" s="27"/>
      <c r="K90" s="27"/>
      <c r="R90" s="27"/>
      <c r="S90" s="27"/>
      <c r="T90" s="27"/>
      <c r="U90" s="27"/>
      <c r="V90" s="29"/>
    </row>
    <row r="91" spans="2:32">
      <c r="B91" s="55" t="s">
        <v>9</v>
      </c>
      <c r="C91" s="40" t="s">
        <v>206</v>
      </c>
      <c r="D91" s="40" t="s">
        <v>207</v>
      </c>
      <c r="E91" s="40" t="s">
        <v>10</v>
      </c>
      <c r="F91" s="40" t="s">
        <v>11</v>
      </c>
      <c r="G91" s="40" t="s">
        <v>208</v>
      </c>
      <c r="H91" s="43"/>
      <c r="I91" s="28"/>
      <c r="J91" s="28"/>
      <c r="K91" s="28"/>
      <c r="L91" s="28"/>
      <c r="M91" s="28"/>
      <c r="N91" s="28"/>
      <c r="O91" s="28"/>
      <c r="P91" s="45"/>
      <c r="Q91" s="403"/>
      <c r="R91" s="46"/>
      <c r="S91" s="28"/>
      <c r="T91" s="28"/>
      <c r="U91" s="28"/>
      <c r="V91" s="45"/>
      <c r="W91" s="56"/>
      <c r="X91" s="44"/>
      <c r="Y91" s="44"/>
      <c r="Z91" s="44"/>
      <c r="AA91" s="57"/>
      <c r="AB91" s="56"/>
      <c r="AC91" s="44"/>
      <c r="AD91" s="44"/>
      <c r="AE91" s="44"/>
      <c r="AF91" s="44"/>
    </row>
    <row r="92" spans="2:32">
      <c r="B92" s="42" t="s">
        <v>209</v>
      </c>
      <c r="C92" s="6">
        <f>+C6+C20+C33+C47+C61+C74</f>
        <v>30465907.710000001</v>
      </c>
      <c r="D92" s="6">
        <f t="shared" ref="D92:F92" si="113">+D6+D20+D33+D47+D61+D74</f>
        <v>24960209.469999999</v>
      </c>
      <c r="E92" s="6">
        <f t="shared" si="113"/>
        <v>0</v>
      </c>
      <c r="F92" s="6">
        <f t="shared" si="113"/>
        <v>30726743.359999999</v>
      </c>
      <c r="G92" s="6">
        <f t="shared" ref="G92:G101" si="114">SUM(C92:F92)</f>
        <v>86152860.539999992</v>
      </c>
      <c r="H92" s="43"/>
      <c r="I92" s="28"/>
      <c r="J92" s="28"/>
      <c r="K92" s="28"/>
      <c r="L92" s="28">
        <f>+L6+L20+L33+L47+L61+L74</f>
        <v>1229183.6599999999</v>
      </c>
      <c r="M92" s="28">
        <f t="shared" ref="M92:O92" si="115">+M6+M20+M33+M47+M61+M74</f>
        <v>341460</v>
      </c>
      <c r="N92" s="28">
        <f t="shared" si="115"/>
        <v>0</v>
      </c>
      <c r="O92" s="28">
        <f t="shared" si="115"/>
        <v>0</v>
      </c>
      <c r="P92" s="28">
        <f>+P6+P20+P33+P47+P61+P74</f>
        <v>1570643.6599999997</v>
      </c>
      <c r="Q92" s="402">
        <f>+Q6+Q20+Q33+Q47+Q61+Q74</f>
        <v>3066370.71</v>
      </c>
      <c r="R92" s="46">
        <f>+R6+R20+R33+R47+R61+R74</f>
        <v>31695091.369999997</v>
      </c>
      <c r="S92" s="46">
        <f t="shared" ref="S92" si="116">+S6+S20+S33+S47+S61+S74</f>
        <v>25301669.469999999</v>
      </c>
      <c r="T92" s="46">
        <f>+T6+T20+T33+T47+T61+T74</f>
        <v>3066370.71</v>
      </c>
      <c r="U92" s="46">
        <f>+U6+U20+U33+U47+U61+U74</f>
        <v>27551065.197007708</v>
      </c>
      <c r="V92" s="45">
        <f>SUM(R92:U92)</f>
        <v>87614196.747007698</v>
      </c>
      <c r="W92" s="47">
        <f>+W6+W20+W33+W47+W61+W74</f>
        <v>52838234.46805878</v>
      </c>
      <c r="X92" s="47">
        <f t="shared" ref="X92:Y92" si="117">+X6+X20+X33+X47+X61+X74</f>
        <v>10836787.203977793</v>
      </c>
      <c r="Y92" s="47">
        <f t="shared" si="117"/>
        <v>0</v>
      </c>
      <c r="Z92" s="47">
        <f>+Z6+Z20+Z33+Z47+Z61+Z74</f>
        <v>0</v>
      </c>
      <c r="AA92" s="45">
        <f t="shared" ref="AA92:AA101" si="118">SUM(W92:Z92)</f>
        <v>63675021.672036573</v>
      </c>
      <c r="AB92" s="47">
        <f>+AB6+AB20+AB33+AB47+AB61+AB74</f>
        <v>84533325.83805877</v>
      </c>
      <c r="AC92" s="47">
        <f t="shared" ref="AC92:AE92" si="119">+AC6+AC20+AC33+AC47+AC61+AC74</f>
        <v>36138456.673977792</v>
      </c>
      <c r="AD92" s="47">
        <f t="shared" si="119"/>
        <v>3066370.71</v>
      </c>
      <c r="AE92" s="47">
        <f t="shared" si="119"/>
        <v>27551065.197007708</v>
      </c>
      <c r="AF92" s="28">
        <f>SUM(AB92:AE92)</f>
        <v>151289218.41904426</v>
      </c>
    </row>
    <row r="93" spans="2:32">
      <c r="B93" s="42" t="s">
        <v>210</v>
      </c>
      <c r="C93" s="6">
        <f t="shared" ref="C93:F100" si="120">+C7+C21+C34+C48+C62+C75</f>
        <v>74702585.849999994</v>
      </c>
      <c r="D93" s="6">
        <f t="shared" si="120"/>
        <v>28722233.609999999</v>
      </c>
      <c r="E93" s="6">
        <f t="shared" si="120"/>
        <v>0</v>
      </c>
      <c r="F93" s="6">
        <f t="shared" si="120"/>
        <v>50520924.751000002</v>
      </c>
      <c r="G93" s="6">
        <f t="shared" si="114"/>
        <v>153945744.211</v>
      </c>
      <c r="H93" s="43"/>
      <c r="I93" s="28"/>
      <c r="J93" s="28"/>
      <c r="K93" s="28"/>
      <c r="L93" s="28">
        <f t="shared" ref="L93:P100" si="121">+L7+L21+L34+L48+L62+L75</f>
        <v>8813074.5500000007</v>
      </c>
      <c r="M93" s="28">
        <f t="shared" si="121"/>
        <v>4391737</v>
      </c>
      <c r="N93" s="28">
        <f t="shared" si="121"/>
        <v>0</v>
      </c>
      <c r="O93" s="28">
        <f t="shared" si="121"/>
        <v>0</v>
      </c>
      <c r="P93" s="28">
        <f t="shared" si="121"/>
        <v>13204811.550000001</v>
      </c>
      <c r="Q93" s="402">
        <f>+Q7+Q21+Q34+Q48+Q62+Q75</f>
        <v>3446736.49</v>
      </c>
      <c r="R93" s="46">
        <f t="shared" ref="R93:U100" si="122">+R7+R21+R34+R48+R62+R75</f>
        <v>83515660.400000006</v>
      </c>
      <c r="S93" s="46">
        <f t="shared" si="122"/>
        <v>33113970.609999999</v>
      </c>
      <c r="T93" s="46">
        <f>+T7+T21+T34+T48+T62+T75</f>
        <v>3446736.49</v>
      </c>
      <c r="U93" s="46">
        <f t="shared" si="122"/>
        <v>45684215.050794661</v>
      </c>
      <c r="V93" s="45">
        <f t="shared" ref="V93:V100" si="123">SUM(R93:U93)</f>
        <v>165760582.55079466</v>
      </c>
      <c r="W93" s="47">
        <f t="shared" ref="W93:Z100" si="124">+W7+W21+W34+W48+W62+W75</f>
        <v>125429198.44598618</v>
      </c>
      <c r="X93" s="47">
        <f t="shared" si="124"/>
        <v>18822943.13216852</v>
      </c>
      <c r="Y93" s="47">
        <f t="shared" si="124"/>
        <v>0</v>
      </c>
      <c r="Z93" s="47">
        <f t="shared" si="124"/>
        <v>28867908.883181892</v>
      </c>
      <c r="AA93" s="45">
        <f t="shared" si="118"/>
        <v>173120050.46133661</v>
      </c>
      <c r="AB93" s="47">
        <f t="shared" ref="AB93:AE100" si="125">+AB7+AB21+AB34+AB48+AB62+AB75</f>
        <v>208944858.84598619</v>
      </c>
      <c r="AC93" s="47">
        <f t="shared" si="125"/>
        <v>51936913.742168508</v>
      </c>
      <c r="AD93" s="47">
        <f t="shared" si="125"/>
        <v>3446736.49</v>
      </c>
      <c r="AE93" s="47">
        <f t="shared" si="125"/>
        <v>74552123.933976561</v>
      </c>
      <c r="AF93" s="28">
        <f t="shared" ref="AF93:AF100" si="126">SUM(AB93:AE93)</f>
        <v>338880633.01213127</v>
      </c>
    </row>
    <row r="94" spans="2:32">
      <c r="B94" s="42" t="s">
        <v>211</v>
      </c>
      <c r="C94" s="6">
        <f t="shared" si="120"/>
        <v>1496489.5</v>
      </c>
      <c r="D94" s="6">
        <f t="shared" si="120"/>
        <v>13000</v>
      </c>
      <c r="E94" s="6">
        <f t="shared" si="120"/>
        <v>0</v>
      </c>
      <c r="F94" s="6">
        <f t="shared" si="120"/>
        <v>0</v>
      </c>
      <c r="G94" s="6">
        <f t="shared" si="114"/>
        <v>1509489.5</v>
      </c>
      <c r="H94" s="43"/>
      <c r="I94" s="28"/>
      <c r="J94" s="28"/>
      <c r="K94" s="28"/>
      <c r="L94" s="28">
        <f t="shared" si="121"/>
        <v>0</v>
      </c>
      <c r="M94" s="28">
        <f t="shared" si="121"/>
        <v>0</v>
      </c>
      <c r="N94" s="28">
        <f t="shared" si="121"/>
        <v>0</v>
      </c>
      <c r="O94" s="28">
        <f t="shared" si="121"/>
        <v>0</v>
      </c>
      <c r="P94" s="28">
        <f t="shared" si="121"/>
        <v>0</v>
      </c>
      <c r="Q94" s="404"/>
      <c r="R94" s="46">
        <f t="shared" si="122"/>
        <v>1496489.5</v>
      </c>
      <c r="S94" s="46">
        <f t="shared" si="122"/>
        <v>13000</v>
      </c>
      <c r="T94" s="46">
        <f t="shared" si="122"/>
        <v>0</v>
      </c>
      <c r="U94" s="46">
        <f t="shared" si="122"/>
        <v>699696.45967476128</v>
      </c>
      <c r="V94" s="45">
        <f t="shared" si="123"/>
        <v>2209185.9596747612</v>
      </c>
      <c r="W94" s="47">
        <f t="shared" si="124"/>
        <v>193683.87032934124</v>
      </c>
      <c r="X94" s="47">
        <f t="shared" si="124"/>
        <v>0</v>
      </c>
      <c r="Y94" s="47">
        <f t="shared" si="124"/>
        <v>0</v>
      </c>
      <c r="Z94" s="47">
        <f t="shared" si="124"/>
        <v>0</v>
      </c>
      <c r="AA94" s="45">
        <f t="shared" si="118"/>
        <v>193683.87032934124</v>
      </c>
      <c r="AB94" s="47">
        <f t="shared" si="125"/>
        <v>1690173.3703293414</v>
      </c>
      <c r="AC94" s="47">
        <f t="shared" si="125"/>
        <v>13000</v>
      </c>
      <c r="AD94" s="47">
        <f t="shared" si="125"/>
        <v>0</v>
      </c>
      <c r="AE94" s="47">
        <f t="shared" si="125"/>
        <v>699696.45967476128</v>
      </c>
      <c r="AF94" s="28">
        <f t="shared" si="126"/>
        <v>2402869.8300041026</v>
      </c>
    </row>
    <row r="95" spans="2:32">
      <c r="B95" s="42" t="s">
        <v>212</v>
      </c>
      <c r="C95" s="6">
        <f t="shared" si="120"/>
        <v>2236225</v>
      </c>
      <c r="D95" s="6">
        <f t="shared" si="120"/>
        <v>774800</v>
      </c>
      <c r="E95" s="6">
        <f t="shared" si="120"/>
        <v>0</v>
      </c>
      <c r="F95" s="6">
        <f t="shared" si="120"/>
        <v>0</v>
      </c>
      <c r="G95" s="6">
        <f t="shared" si="114"/>
        <v>3011025</v>
      </c>
      <c r="H95" s="43"/>
      <c r="I95" s="28"/>
      <c r="J95" s="28"/>
      <c r="K95" s="28"/>
      <c r="L95" s="28">
        <f t="shared" si="121"/>
        <v>0</v>
      </c>
      <c r="M95" s="28">
        <f t="shared" si="121"/>
        <v>0</v>
      </c>
      <c r="N95" s="28">
        <f t="shared" si="121"/>
        <v>0</v>
      </c>
      <c r="O95" s="28">
        <f t="shared" si="121"/>
        <v>0</v>
      </c>
      <c r="P95" s="28">
        <f t="shared" si="121"/>
        <v>0</v>
      </c>
      <c r="Q95" s="404"/>
      <c r="R95" s="46">
        <f t="shared" si="122"/>
        <v>2236225</v>
      </c>
      <c r="S95" s="46">
        <f t="shared" si="122"/>
        <v>774800</v>
      </c>
      <c r="T95" s="46">
        <f t="shared" si="122"/>
        <v>0</v>
      </c>
      <c r="U95" s="46">
        <f t="shared" si="122"/>
        <v>1334665.6138540735</v>
      </c>
      <c r="V95" s="45">
        <f t="shared" si="123"/>
        <v>4345690.613854073</v>
      </c>
      <c r="W95" s="47">
        <f t="shared" si="124"/>
        <v>1621115.3860688054</v>
      </c>
      <c r="X95" s="47">
        <f t="shared" si="124"/>
        <v>121566.34087457285</v>
      </c>
      <c r="Y95" s="47">
        <f t="shared" si="124"/>
        <v>0</v>
      </c>
      <c r="Z95" s="47">
        <f t="shared" si="124"/>
        <v>283660.14246588189</v>
      </c>
      <c r="AA95" s="45">
        <f t="shared" si="118"/>
        <v>2026341.8694092599</v>
      </c>
      <c r="AB95" s="47">
        <f t="shared" si="125"/>
        <v>3857340.3860688056</v>
      </c>
      <c r="AC95" s="47">
        <f t="shared" si="125"/>
        <v>896366.34087457287</v>
      </c>
      <c r="AD95" s="47">
        <f t="shared" si="125"/>
        <v>0</v>
      </c>
      <c r="AE95" s="47">
        <f t="shared" si="125"/>
        <v>1618325.7563199555</v>
      </c>
      <c r="AF95" s="28">
        <f t="shared" si="126"/>
        <v>6372032.4832633343</v>
      </c>
    </row>
    <row r="96" spans="2:32">
      <c r="B96" s="42" t="s">
        <v>213</v>
      </c>
      <c r="C96" s="6">
        <f t="shared" si="120"/>
        <v>4324800</v>
      </c>
      <c r="D96" s="6">
        <f t="shared" si="120"/>
        <v>949570</v>
      </c>
      <c r="E96" s="6">
        <f t="shared" si="120"/>
        <v>0</v>
      </c>
      <c r="F96" s="6">
        <f t="shared" si="120"/>
        <v>0</v>
      </c>
      <c r="G96" s="6">
        <f t="shared" si="114"/>
        <v>5274370</v>
      </c>
      <c r="H96" s="43"/>
      <c r="I96" s="28"/>
      <c r="J96" s="28"/>
      <c r="K96" s="28"/>
      <c r="L96" s="28">
        <f t="shared" si="121"/>
        <v>0</v>
      </c>
      <c r="M96" s="28">
        <f t="shared" si="121"/>
        <v>0</v>
      </c>
      <c r="N96" s="28">
        <f t="shared" si="121"/>
        <v>0</v>
      </c>
      <c r="O96" s="28">
        <f t="shared" si="121"/>
        <v>0</v>
      </c>
      <c r="P96" s="28">
        <f t="shared" si="121"/>
        <v>0</v>
      </c>
      <c r="Q96" s="404"/>
      <c r="R96" s="46">
        <f t="shared" si="122"/>
        <v>4324800</v>
      </c>
      <c r="S96" s="46">
        <f t="shared" si="122"/>
        <v>949570</v>
      </c>
      <c r="T96" s="46">
        <f t="shared" si="122"/>
        <v>0</v>
      </c>
      <c r="U96" s="46">
        <f t="shared" si="122"/>
        <v>2365820.2878400162</v>
      </c>
      <c r="V96" s="45">
        <f t="shared" si="123"/>
        <v>7640190.2878400162</v>
      </c>
      <c r="W96" s="47">
        <f t="shared" si="124"/>
        <v>0</v>
      </c>
      <c r="X96" s="47">
        <f t="shared" si="124"/>
        <v>0</v>
      </c>
      <c r="Y96" s="47">
        <f t="shared" si="124"/>
        <v>0</v>
      </c>
      <c r="Z96" s="47">
        <f t="shared" si="124"/>
        <v>0</v>
      </c>
      <c r="AA96" s="45">
        <f t="shared" si="118"/>
        <v>0</v>
      </c>
      <c r="AB96" s="47">
        <f t="shared" si="125"/>
        <v>4324800</v>
      </c>
      <c r="AC96" s="47">
        <f t="shared" si="125"/>
        <v>949570</v>
      </c>
      <c r="AD96" s="47">
        <f t="shared" si="125"/>
        <v>0</v>
      </c>
      <c r="AE96" s="47">
        <f t="shared" si="125"/>
        <v>2365820.2878400162</v>
      </c>
      <c r="AF96" s="28">
        <f t="shared" si="126"/>
        <v>7640190.2878400162</v>
      </c>
    </row>
    <row r="97" spans="1:32">
      <c r="B97" s="42" t="s">
        <v>214</v>
      </c>
      <c r="C97" s="6">
        <f t="shared" si="120"/>
        <v>4574700</v>
      </c>
      <c r="D97" s="6">
        <f t="shared" si="120"/>
        <v>1861160</v>
      </c>
      <c r="E97" s="6">
        <f t="shared" si="120"/>
        <v>0</v>
      </c>
      <c r="F97" s="6">
        <f t="shared" si="120"/>
        <v>0</v>
      </c>
      <c r="G97" s="6">
        <f t="shared" si="114"/>
        <v>6435860</v>
      </c>
      <c r="H97" s="43"/>
      <c r="I97" s="28"/>
      <c r="J97" s="28"/>
      <c r="K97" s="28"/>
      <c r="L97" s="28">
        <f t="shared" si="121"/>
        <v>0</v>
      </c>
      <c r="M97" s="28">
        <f t="shared" si="121"/>
        <v>0</v>
      </c>
      <c r="N97" s="28">
        <f t="shared" si="121"/>
        <v>0</v>
      </c>
      <c r="O97" s="28">
        <f t="shared" si="121"/>
        <v>0</v>
      </c>
      <c r="P97" s="28">
        <f t="shared" si="121"/>
        <v>0</v>
      </c>
      <c r="Q97" s="404"/>
      <c r="R97" s="46">
        <f t="shared" si="122"/>
        <v>4574700</v>
      </c>
      <c r="S97" s="46">
        <f t="shared" si="122"/>
        <v>1861160</v>
      </c>
      <c r="T97" s="46">
        <f t="shared" si="122"/>
        <v>0</v>
      </c>
      <c r="U97" s="46">
        <f t="shared" si="122"/>
        <v>3028331.4920043135</v>
      </c>
      <c r="V97" s="45">
        <f t="shared" si="123"/>
        <v>9464191.4920043126</v>
      </c>
      <c r="W97" s="47">
        <f t="shared" si="124"/>
        <v>0</v>
      </c>
      <c r="X97" s="47">
        <f t="shared" si="124"/>
        <v>0</v>
      </c>
      <c r="Y97" s="47">
        <f t="shared" si="124"/>
        <v>0</v>
      </c>
      <c r="Z97" s="47">
        <f t="shared" si="124"/>
        <v>0</v>
      </c>
      <c r="AA97" s="45">
        <f t="shared" si="118"/>
        <v>0</v>
      </c>
      <c r="AB97" s="47">
        <f t="shared" si="125"/>
        <v>4574700</v>
      </c>
      <c r="AC97" s="47">
        <f t="shared" si="125"/>
        <v>1861160</v>
      </c>
      <c r="AD97" s="47">
        <f t="shared" si="125"/>
        <v>0</v>
      </c>
      <c r="AE97" s="47">
        <f t="shared" si="125"/>
        <v>3028331.4920043135</v>
      </c>
      <c r="AF97" s="28">
        <f t="shared" si="126"/>
        <v>9464191.4920043126</v>
      </c>
    </row>
    <row r="98" spans="1:32">
      <c r="B98" s="50" t="s">
        <v>437</v>
      </c>
      <c r="C98" s="6">
        <f t="shared" si="120"/>
        <v>0</v>
      </c>
      <c r="D98" s="6">
        <f t="shared" si="120"/>
        <v>0</v>
      </c>
      <c r="E98" s="6">
        <f t="shared" si="120"/>
        <v>0</v>
      </c>
      <c r="F98" s="6">
        <f t="shared" si="120"/>
        <v>0</v>
      </c>
      <c r="G98" s="6">
        <f t="shared" si="114"/>
        <v>0</v>
      </c>
      <c r="H98" s="43"/>
      <c r="I98" s="44"/>
      <c r="J98" s="44"/>
      <c r="K98" s="44"/>
      <c r="L98" s="28">
        <f t="shared" si="121"/>
        <v>0</v>
      </c>
      <c r="M98" s="28">
        <f t="shared" si="121"/>
        <v>0</v>
      </c>
      <c r="N98" s="28">
        <f t="shared" si="121"/>
        <v>0</v>
      </c>
      <c r="O98" s="28">
        <f t="shared" si="121"/>
        <v>0</v>
      </c>
      <c r="P98" s="28">
        <f t="shared" si="121"/>
        <v>0</v>
      </c>
      <c r="Q98" s="404"/>
      <c r="R98" s="46">
        <f t="shared" si="122"/>
        <v>0</v>
      </c>
      <c r="S98" s="46">
        <f t="shared" si="122"/>
        <v>0</v>
      </c>
      <c r="T98" s="46">
        <f t="shared" si="122"/>
        <v>0</v>
      </c>
      <c r="U98" s="46">
        <f t="shared" si="122"/>
        <v>0</v>
      </c>
      <c r="V98" s="45">
        <f t="shared" si="123"/>
        <v>0</v>
      </c>
      <c r="W98" s="47">
        <f t="shared" si="124"/>
        <v>0</v>
      </c>
      <c r="X98" s="47">
        <f t="shared" si="124"/>
        <v>0</v>
      </c>
      <c r="Y98" s="47">
        <f t="shared" si="124"/>
        <v>0</v>
      </c>
      <c r="Z98" s="47">
        <f t="shared" si="124"/>
        <v>0</v>
      </c>
      <c r="AA98" s="45">
        <f t="shared" si="118"/>
        <v>0</v>
      </c>
      <c r="AB98" s="47">
        <f t="shared" si="125"/>
        <v>0</v>
      </c>
      <c r="AC98" s="47">
        <f t="shared" si="125"/>
        <v>0</v>
      </c>
      <c r="AD98" s="47">
        <f t="shared" si="125"/>
        <v>0</v>
      </c>
      <c r="AE98" s="47">
        <f t="shared" si="125"/>
        <v>0</v>
      </c>
      <c r="AF98" s="28">
        <f t="shared" si="126"/>
        <v>0</v>
      </c>
    </row>
    <row r="99" spans="1:32">
      <c r="B99" s="50" t="s">
        <v>219</v>
      </c>
      <c r="C99" s="6">
        <f t="shared" si="120"/>
        <v>1458718</v>
      </c>
      <c r="D99" s="6">
        <f t="shared" si="120"/>
        <v>0</v>
      </c>
      <c r="E99" s="6">
        <f t="shared" si="120"/>
        <v>0</v>
      </c>
      <c r="F99" s="6">
        <f t="shared" si="120"/>
        <v>0</v>
      </c>
      <c r="G99" s="6">
        <f t="shared" si="114"/>
        <v>1458718</v>
      </c>
      <c r="H99" s="43"/>
      <c r="I99" s="44"/>
      <c r="J99" s="44"/>
      <c r="K99" s="44"/>
      <c r="L99" s="28">
        <f t="shared" si="121"/>
        <v>0</v>
      </c>
      <c r="M99" s="28">
        <f t="shared" si="121"/>
        <v>0</v>
      </c>
      <c r="N99" s="28">
        <f t="shared" si="121"/>
        <v>0</v>
      </c>
      <c r="O99" s="28">
        <f t="shared" si="121"/>
        <v>0</v>
      </c>
      <c r="P99" s="28">
        <f t="shared" si="121"/>
        <v>0</v>
      </c>
      <c r="Q99" s="404"/>
      <c r="R99" s="46">
        <f t="shared" si="122"/>
        <v>1458718</v>
      </c>
      <c r="S99" s="46">
        <f t="shared" si="122"/>
        <v>0</v>
      </c>
      <c r="T99" s="46">
        <f t="shared" si="122"/>
        <v>0</v>
      </c>
      <c r="U99" s="46">
        <f t="shared" si="122"/>
        <v>583874.00982447667</v>
      </c>
      <c r="V99" s="45">
        <f>SUM(R99:U99)</f>
        <v>2042592.0098244767</v>
      </c>
      <c r="W99" s="47">
        <f t="shared" si="124"/>
        <v>1190828.4264200346</v>
      </c>
      <c r="X99" s="47">
        <f t="shared" si="124"/>
        <v>0</v>
      </c>
      <c r="Y99" s="47">
        <f t="shared" si="124"/>
        <v>0</v>
      </c>
      <c r="Z99" s="47">
        <f t="shared" si="124"/>
        <v>112728.67685160368</v>
      </c>
      <c r="AA99" s="45">
        <f t="shared" si="118"/>
        <v>1303557.1032716383</v>
      </c>
      <c r="AB99" s="47">
        <f t="shared" si="125"/>
        <v>2649546.4264200348</v>
      </c>
      <c r="AC99" s="47">
        <f t="shared" si="125"/>
        <v>0</v>
      </c>
      <c r="AD99" s="47">
        <f t="shared" si="125"/>
        <v>0</v>
      </c>
      <c r="AE99" s="47">
        <f t="shared" si="125"/>
        <v>696602.68667608034</v>
      </c>
      <c r="AF99" s="28">
        <f t="shared" si="126"/>
        <v>3346149.1130961152</v>
      </c>
    </row>
    <row r="100" spans="1:32">
      <c r="B100" s="42" t="s">
        <v>216</v>
      </c>
      <c r="C100" s="6">
        <f t="shared" si="120"/>
        <v>0</v>
      </c>
      <c r="D100" s="6">
        <f t="shared" si="120"/>
        <v>0</v>
      </c>
      <c r="E100" s="6">
        <f t="shared" si="120"/>
        <v>0</v>
      </c>
      <c r="F100" s="6">
        <f t="shared" si="120"/>
        <v>0</v>
      </c>
      <c r="G100" s="6">
        <f t="shared" si="114"/>
        <v>0</v>
      </c>
      <c r="H100" s="43"/>
      <c r="I100" s="44"/>
      <c r="J100" s="44"/>
      <c r="K100" s="44"/>
      <c r="L100" s="28">
        <f t="shared" si="121"/>
        <v>0</v>
      </c>
      <c r="M100" s="28">
        <f t="shared" si="121"/>
        <v>0</v>
      </c>
      <c r="N100" s="28">
        <f t="shared" si="121"/>
        <v>0</v>
      </c>
      <c r="O100" s="28">
        <f t="shared" si="121"/>
        <v>0</v>
      </c>
      <c r="P100" s="28">
        <f t="shared" si="121"/>
        <v>0</v>
      </c>
      <c r="Q100" s="404"/>
      <c r="R100" s="46">
        <f t="shared" si="122"/>
        <v>0</v>
      </c>
      <c r="S100" s="46">
        <f t="shared" si="122"/>
        <v>0</v>
      </c>
      <c r="T100" s="46">
        <f t="shared" si="122"/>
        <v>0</v>
      </c>
      <c r="U100" s="46">
        <f t="shared" si="122"/>
        <v>0</v>
      </c>
      <c r="V100" s="45">
        <f t="shared" si="123"/>
        <v>0</v>
      </c>
      <c r="W100" s="47">
        <f t="shared" si="124"/>
        <v>0</v>
      </c>
      <c r="X100" s="47">
        <f t="shared" si="124"/>
        <v>0</v>
      </c>
      <c r="Y100" s="47">
        <f t="shared" si="124"/>
        <v>0</v>
      </c>
      <c r="Z100" s="47">
        <f t="shared" si="124"/>
        <v>0</v>
      </c>
      <c r="AA100" s="45">
        <f t="shared" si="118"/>
        <v>0</v>
      </c>
      <c r="AB100" s="47">
        <f t="shared" si="125"/>
        <v>0</v>
      </c>
      <c r="AC100" s="47">
        <f t="shared" si="125"/>
        <v>0</v>
      </c>
      <c r="AD100" s="47">
        <f t="shared" si="125"/>
        <v>0</v>
      </c>
      <c r="AE100" s="47">
        <f t="shared" si="125"/>
        <v>0</v>
      </c>
      <c r="AF100" s="28">
        <f t="shared" si="126"/>
        <v>0</v>
      </c>
    </row>
    <row r="101" spans="1:32">
      <c r="B101" s="42"/>
      <c r="C101" s="28">
        <f>SUM(C92:C100)</f>
        <v>119259426.06</v>
      </c>
      <c r="D101" s="28">
        <f>SUM(D92:D100)</f>
        <v>57280973.079999998</v>
      </c>
      <c r="E101" s="28">
        <f>SUM(E92:E100)</f>
        <v>0</v>
      </c>
      <c r="F101" s="28">
        <f>SUM(F92:F100)</f>
        <v>81247668.111000001</v>
      </c>
      <c r="G101" s="28">
        <f t="shared" si="114"/>
        <v>257788067.25099999</v>
      </c>
      <c r="H101" s="43"/>
      <c r="I101" s="44"/>
      <c r="J101" s="44"/>
      <c r="K101" s="44"/>
      <c r="L101" s="28">
        <f t="shared" ref="L101:Z101" si="127">SUM(L92:L100)</f>
        <v>10042258.210000001</v>
      </c>
      <c r="M101" s="28">
        <f t="shared" si="127"/>
        <v>4733197</v>
      </c>
      <c r="N101" s="28">
        <f t="shared" si="127"/>
        <v>0</v>
      </c>
      <c r="O101" s="28">
        <f t="shared" si="127"/>
        <v>0</v>
      </c>
      <c r="P101" s="28">
        <f>SUM(P92:P100)</f>
        <v>14775455.210000001</v>
      </c>
      <c r="Q101" s="404">
        <f>SUM(Q92:Q100)</f>
        <v>6513107.2000000002</v>
      </c>
      <c r="R101" s="46">
        <f t="shared" si="127"/>
        <v>129301684.27000001</v>
      </c>
      <c r="S101" s="46">
        <f t="shared" si="127"/>
        <v>62014170.079999998</v>
      </c>
      <c r="T101" s="46">
        <f t="shared" si="127"/>
        <v>6513107.2000000002</v>
      </c>
      <c r="U101" s="46">
        <f t="shared" si="127"/>
        <v>81247668.111000031</v>
      </c>
      <c r="V101" s="51">
        <f t="shared" si="127"/>
        <v>279076629.66100001</v>
      </c>
      <c r="W101" s="46">
        <f t="shared" si="127"/>
        <v>181273060.59686315</v>
      </c>
      <c r="X101" s="28">
        <f t="shared" si="127"/>
        <v>29781296.677020885</v>
      </c>
      <c r="Y101" s="28">
        <f t="shared" si="127"/>
        <v>0</v>
      </c>
      <c r="Z101" s="28">
        <f t="shared" si="127"/>
        <v>29264297.702499378</v>
      </c>
      <c r="AA101" s="45">
        <f t="shared" si="118"/>
        <v>240318654.97638342</v>
      </c>
      <c r="AB101" s="46">
        <f>SUM(AB92:AB100)</f>
        <v>310574744.86686313</v>
      </c>
      <c r="AC101" s="46">
        <f t="shared" ref="AC101:AF101" si="128">SUM(AC92:AC100)</f>
        <v>91795466.757020876</v>
      </c>
      <c r="AD101" s="46">
        <f t="shared" si="128"/>
        <v>6513107.2000000002</v>
      </c>
      <c r="AE101" s="46">
        <f t="shared" si="128"/>
        <v>110511965.81349941</v>
      </c>
      <c r="AF101" s="46">
        <f t="shared" si="128"/>
        <v>519395284.6373834</v>
      </c>
    </row>
    <row r="102" spans="1:32">
      <c r="B102" s="52"/>
      <c r="C102" s="33"/>
      <c r="D102" s="33"/>
      <c r="E102" s="33"/>
      <c r="F102" s="33"/>
      <c r="G102" s="29"/>
      <c r="R102" s="27">
        <f>+C101+10042258.21</f>
        <v>129301684.27000001</v>
      </c>
      <c r="S102" s="27">
        <f>+D101+4733197</f>
        <v>62014170.079999998</v>
      </c>
      <c r="T102" s="27">
        <f>+E101</f>
        <v>0</v>
      </c>
      <c r="U102" s="27">
        <f>+F101</f>
        <v>81247668.111000001</v>
      </c>
      <c r="V102" s="27">
        <f>+R102+S102+T102+U102</f>
        <v>272563522.46100003</v>
      </c>
      <c r="AB102" s="27">
        <f>+R101+W101</f>
        <v>310574744.86686313</v>
      </c>
      <c r="AC102" s="27">
        <f t="shared" ref="AC102:AF102" si="129">+S101+X101</f>
        <v>91795466.757020891</v>
      </c>
      <c r="AD102" s="27">
        <f t="shared" si="129"/>
        <v>6513107.2000000002</v>
      </c>
      <c r="AE102" s="27">
        <f t="shared" si="129"/>
        <v>110511965.81349941</v>
      </c>
      <c r="AF102" s="27">
        <f t="shared" si="129"/>
        <v>519395284.63738346</v>
      </c>
    </row>
    <row r="103" spans="1:32">
      <c r="B103" s="52"/>
      <c r="C103" s="33"/>
      <c r="D103" s="33"/>
      <c r="E103" s="33"/>
      <c r="F103" s="33"/>
      <c r="G103" s="29"/>
      <c r="R103" s="27"/>
      <c r="S103" s="27"/>
      <c r="T103" s="27"/>
      <c r="U103" s="27"/>
      <c r="V103" s="29"/>
    </row>
    <row r="104" spans="1:32">
      <c r="A104" s="389" t="s">
        <v>204</v>
      </c>
      <c r="B104" s="636" t="s">
        <v>224</v>
      </c>
      <c r="C104" s="636"/>
      <c r="D104" s="636"/>
      <c r="E104" s="636"/>
      <c r="F104" s="636"/>
      <c r="G104" s="636"/>
      <c r="R104" s="27"/>
      <c r="S104" s="27"/>
      <c r="T104" s="27"/>
      <c r="U104" s="27"/>
      <c r="V104" s="29"/>
    </row>
    <row r="105" spans="1:32">
      <c r="B105" s="55" t="s">
        <v>9</v>
      </c>
      <c r="C105" s="40" t="s">
        <v>206</v>
      </c>
      <c r="D105" s="40" t="s">
        <v>207</v>
      </c>
      <c r="E105" s="40" t="s">
        <v>10</v>
      </c>
      <c r="F105" s="40" t="s">
        <v>11</v>
      </c>
      <c r="G105" s="48" t="s">
        <v>208</v>
      </c>
      <c r="H105" s="43"/>
      <c r="I105" s="44"/>
      <c r="J105" s="44"/>
      <c r="K105" s="44"/>
      <c r="L105" s="28"/>
      <c r="M105" s="28"/>
      <c r="N105" s="28"/>
      <c r="O105" s="28"/>
      <c r="P105" s="45"/>
      <c r="Q105" s="403"/>
      <c r="R105" s="46"/>
      <c r="S105" s="28"/>
      <c r="T105" s="28"/>
      <c r="U105" s="28"/>
      <c r="V105" s="45"/>
      <c r="W105" s="56"/>
      <c r="X105" s="44"/>
      <c r="Y105" s="44"/>
      <c r="Z105" s="44"/>
      <c r="AA105" s="57"/>
      <c r="AB105" s="56"/>
      <c r="AC105" s="44"/>
      <c r="AD105" s="44"/>
      <c r="AE105" s="44"/>
      <c r="AF105" s="44"/>
    </row>
    <row r="106" spans="1:32">
      <c r="B106" s="42" t="s">
        <v>209</v>
      </c>
      <c r="C106" s="6">
        <v>0</v>
      </c>
      <c r="D106" s="6">
        <v>0</v>
      </c>
      <c r="E106" s="373">
        <v>0</v>
      </c>
      <c r="F106" s="6">
        <v>0</v>
      </c>
      <c r="G106" s="374">
        <f>SUM(C106:F106)</f>
        <v>0</v>
      </c>
      <c r="H106" s="43"/>
      <c r="I106" s="44"/>
      <c r="J106" s="44"/>
      <c r="K106" s="44"/>
      <c r="L106" s="28">
        <v>0</v>
      </c>
      <c r="M106" s="28">
        <v>0</v>
      </c>
      <c r="N106" s="28">
        <v>0</v>
      </c>
      <c r="O106" s="28">
        <v>0</v>
      </c>
      <c r="P106" s="45">
        <f t="shared" ref="P106:P115" si="130">SUM(L106:O106)</f>
        <v>0</v>
      </c>
      <c r="Q106" s="403"/>
      <c r="R106" s="46">
        <f>+C106+L106</f>
        <v>0</v>
      </c>
      <c r="S106" s="46">
        <f t="shared" ref="S106:S114" si="131">+D106+M106</f>
        <v>0</v>
      </c>
      <c r="T106" s="46">
        <f>+E106+N106+Q106</f>
        <v>0</v>
      </c>
      <c r="U106" s="46">
        <f>+F106</f>
        <v>0</v>
      </c>
      <c r="V106" s="45">
        <f>SUM(R106:U106)</f>
        <v>0</v>
      </c>
      <c r="W106" s="47">
        <f t="shared" ref="W106:X111" si="132">+C465*R106/R256</f>
        <v>0</v>
      </c>
      <c r="X106" s="47">
        <f t="shared" si="132"/>
        <v>0</v>
      </c>
      <c r="Y106" s="47">
        <v>0</v>
      </c>
      <c r="Z106" s="47">
        <f>+F465*U106/U256</f>
        <v>0</v>
      </c>
      <c r="AA106" s="45">
        <f t="shared" ref="AA106:AA115" si="133">SUM(W106:Z106)</f>
        <v>0</v>
      </c>
      <c r="AB106" s="46">
        <f>+R106+W106</f>
        <v>0</v>
      </c>
      <c r="AC106" s="46">
        <f t="shared" ref="AC106:AE114" si="134">+S106+X106</f>
        <v>0</v>
      </c>
      <c r="AD106" s="46">
        <f t="shared" si="134"/>
        <v>0</v>
      </c>
      <c r="AE106" s="46">
        <f t="shared" si="134"/>
        <v>0</v>
      </c>
      <c r="AF106" s="28">
        <f>SUM(AB106:AE106)</f>
        <v>0</v>
      </c>
    </row>
    <row r="107" spans="1:32">
      <c r="B107" s="42" t="s">
        <v>210</v>
      </c>
      <c r="C107" s="6">
        <v>966900.7</v>
      </c>
      <c r="D107" s="6">
        <v>0</v>
      </c>
      <c r="E107" s="373">
        <v>0</v>
      </c>
      <c r="F107" s="6">
        <v>1741239.33</v>
      </c>
      <c r="G107" s="374">
        <f t="shared" ref="G107:G114" si="135">SUM(C107:F107)</f>
        <v>2708140.0300000003</v>
      </c>
      <c r="H107" s="43"/>
      <c r="I107" s="44"/>
      <c r="J107" s="44"/>
      <c r="K107" s="44"/>
      <c r="L107" s="28">
        <v>0</v>
      </c>
      <c r="M107" s="28">
        <v>0</v>
      </c>
      <c r="N107" s="28">
        <v>0</v>
      </c>
      <c r="O107" s="28">
        <v>0</v>
      </c>
      <c r="P107" s="45">
        <f t="shared" si="130"/>
        <v>0</v>
      </c>
      <c r="Q107" s="403">
        <v>22112.48</v>
      </c>
      <c r="R107" s="46">
        <f t="shared" ref="R107:R114" si="136">+C107+L107</f>
        <v>966900.7</v>
      </c>
      <c r="S107" s="46">
        <f t="shared" si="131"/>
        <v>0</v>
      </c>
      <c r="T107" s="46">
        <f t="shared" ref="T107:T114" si="137">+E107+N107+Q107</f>
        <v>22112.48</v>
      </c>
      <c r="U107" s="46">
        <f t="shared" ref="U107:U115" si="138">+F107</f>
        <v>1741239.33</v>
      </c>
      <c r="V107" s="45">
        <f>SUM(R107:U107)</f>
        <v>2730252.51</v>
      </c>
      <c r="W107" s="47">
        <f t="shared" si="132"/>
        <v>1452153.754122298</v>
      </c>
      <c r="X107" s="47">
        <f t="shared" si="132"/>
        <v>0</v>
      </c>
      <c r="Y107" s="47">
        <v>0</v>
      </c>
      <c r="Z107" s="47">
        <f t="shared" ref="Z107:Z113" si="139">+F466*U107/U257</f>
        <v>1100291.1676683901</v>
      </c>
      <c r="AA107" s="45">
        <f t="shared" si="133"/>
        <v>2552444.9217906883</v>
      </c>
      <c r="AB107" s="46">
        <f t="shared" ref="AB107:AB114" si="140">+R107+W107</f>
        <v>2419054.4541222979</v>
      </c>
      <c r="AC107" s="46">
        <f t="shared" si="134"/>
        <v>0</v>
      </c>
      <c r="AD107" s="46">
        <f t="shared" si="134"/>
        <v>22112.48</v>
      </c>
      <c r="AE107" s="46">
        <f t="shared" si="134"/>
        <v>2841530.4976683902</v>
      </c>
      <c r="AF107" s="28">
        <f t="shared" ref="AF107:AF114" si="141">SUM(AB107:AE107)</f>
        <v>5282697.4317906881</v>
      </c>
    </row>
    <row r="108" spans="1:32" ht="23.25">
      <c r="B108" s="42" t="s">
        <v>211</v>
      </c>
      <c r="C108" s="6">
        <v>13400</v>
      </c>
      <c r="D108" s="375">
        <v>0</v>
      </c>
      <c r="E108" s="375">
        <v>0</v>
      </c>
      <c r="F108" s="373">
        <v>37853.03</v>
      </c>
      <c r="G108" s="374">
        <f t="shared" si="135"/>
        <v>51253.03</v>
      </c>
      <c r="H108" s="43"/>
      <c r="I108" s="44"/>
      <c r="J108" s="44"/>
      <c r="K108" s="44"/>
      <c r="L108" s="28">
        <v>0</v>
      </c>
      <c r="M108" s="28">
        <v>0</v>
      </c>
      <c r="N108" s="28">
        <v>0</v>
      </c>
      <c r="O108" s="28">
        <v>0</v>
      </c>
      <c r="P108" s="45">
        <f t="shared" si="130"/>
        <v>0</v>
      </c>
      <c r="Q108" s="403"/>
      <c r="R108" s="46">
        <f t="shared" si="136"/>
        <v>13400</v>
      </c>
      <c r="S108" s="46">
        <f t="shared" si="131"/>
        <v>0</v>
      </c>
      <c r="T108" s="46">
        <f t="shared" si="137"/>
        <v>0</v>
      </c>
      <c r="U108" s="46">
        <f t="shared" si="138"/>
        <v>37853.03</v>
      </c>
      <c r="V108" s="45">
        <f t="shared" ref="V108:V114" si="142">SUM(R108:U108)</f>
        <v>51253.03</v>
      </c>
      <c r="W108" s="47">
        <f t="shared" si="132"/>
        <v>1734.3014183615539</v>
      </c>
      <c r="X108" s="47">
        <f t="shared" si="132"/>
        <v>0</v>
      </c>
      <c r="Y108" s="47">
        <v>0</v>
      </c>
      <c r="Z108" s="47">
        <f t="shared" si="139"/>
        <v>0</v>
      </c>
      <c r="AA108" s="45">
        <f t="shared" si="133"/>
        <v>1734.3014183615539</v>
      </c>
      <c r="AB108" s="46">
        <f t="shared" si="140"/>
        <v>15134.301418361554</v>
      </c>
      <c r="AC108" s="46">
        <f t="shared" si="134"/>
        <v>0</v>
      </c>
      <c r="AD108" s="46">
        <f t="shared" si="134"/>
        <v>0</v>
      </c>
      <c r="AE108" s="46">
        <f t="shared" si="134"/>
        <v>37853.03</v>
      </c>
      <c r="AF108" s="28">
        <f t="shared" si="141"/>
        <v>52987.331418361551</v>
      </c>
    </row>
    <row r="109" spans="1:32">
      <c r="B109" s="42" t="s">
        <v>212</v>
      </c>
      <c r="C109" s="6">
        <v>65000</v>
      </c>
      <c r="D109" s="6">
        <v>0</v>
      </c>
      <c r="E109" s="373">
        <v>0</v>
      </c>
      <c r="F109" s="6">
        <v>113559.09</v>
      </c>
      <c r="G109" s="374">
        <f t="shared" si="135"/>
        <v>178559.09</v>
      </c>
      <c r="H109" s="43"/>
      <c r="I109" s="44"/>
      <c r="J109" s="44"/>
      <c r="K109" s="44"/>
      <c r="L109" s="28">
        <v>0</v>
      </c>
      <c r="M109" s="28">
        <v>0</v>
      </c>
      <c r="N109" s="28">
        <v>0</v>
      </c>
      <c r="O109" s="28">
        <v>0</v>
      </c>
      <c r="P109" s="45">
        <f t="shared" si="130"/>
        <v>0</v>
      </c>
      <c r="Q109" s="403"/>
      <c r="R109" s="46">
        <f t="shared" si="136"/>
        <v>65000</v>
      </c>
      <c r="S109" s="46">
        <f t="shared" si="131"/>
        <v>0</v>
      </c>
      <c r="T109" s="46">
        <f t="shared" si="137"/>
        <v>0</v>
      </c>
      <c r="U109" s="46">
        <f t="shared" si="138"/>
        <v>113559.09</v>
      </c>
      <c r="V109" s="45">
        <f t="shared" si="142"/>
        <v>178559.09</v>
      </c>
      <c r="W109" s="47">
        <f t="shared" si="132"/>
        <v>47120.70569574723</v>
      </c>
      <c r="X109" s="47">
        <f t="shared" si="132"/>
        <v>0</v>
      </c>
      <c r="Y109" s="47">
        <v>0</v>
      </c>
      <c r="Z109" s="47">
        <f t="shared" si="139"/>
        <v>24135.024768247189</v>
      </c>
      <c r="AA109" s="45">
        <f t="shared" si="133"/>
        <v>71255.73046399442</v>
      </c>
      <c r="AB109" s="46">
        <f t="shared" si="140"/>
        <v>112120.70569574722</v>
      </c>
      <c r="AC109" s="46">
        <f t="shared" si="134"/>
        <v>0</v>
      </c>
      <c r="AD109" s="46">
        <f t="shared" si="134"/>
        <v>0</v>
      </c>
      <c r="AE109" s="46">
        <f t="shared" si="134"/>
        <v>137694.11476824718</v>
      </c>
      <c r="AF109" s="28">
        <f t="shared" si="141"/>
        <v>249814.8204639944</v>
      </c>
    </row>
    <row r="110" spans="1:32">
      <c r="B110" s="42" t="s">
        <v>213</v>
      </c>
      <c r="C110" s="6">
        <v>0</v>
      </c>
      <c r="D110" s="6">
        <v>0</v>
      </c>
      <c r="E110" s="373">
        <v>0</v>
      </c>
      <c r="F110" s="6"/>
      <c r="G110" s="374">
        <f t="shared" si="135"/>
        <v>0</v>
      </c>
      <c r="H110" s="43"/>
      <c r="I110" s="44"/>
      <c r="J110" s="44"/>
      <c r="K110" s="44"/>
      <c r="L110" s="28">
        <v>0</v>
      </c>
      <c r="M110" s="28">
        <v>0</v>
      </c>
      <c r="N110" s="28">
        <v>0</v>
      </c>
      <c r="O110" s="28">
        <v>0</v>
      </c>
      <c r="P110" s="45">
        <f t="shared" si="130"/>
        <v>0</v>
      </c>
      <c r="Q110" s="403"/>
      <c r="R110" s="46">
        <f t="shared" si="136"/>
        <v>0</v>
      </c>
      <c r="S110" s="46">
        <f t="shared" si="131"/>
        <v>0</v>
      </c>
      <c r="T110" s="46">
        <f t="shared" si="137"/>
        <v>0</v>
      </c>
      <c r="U110" s="46">
        <f t="shared" si="138"/>
        <v>0</v>
      </c>
      <c r="V110" s="45">
        <f t="shared" si="142"/>
        <v>0</v>
      </c>
      <c r="W110" s="47">
        <f t="shared" si="132"/>
        <v>0</v>
      </c>
      <c r="X110" s="47">
        <f t="shared" si="132"/>
        <v>0</v>
      </c>
      <c r="Y110" s="47">
        <v>0</v>
      </c>
      <c r="Z110" s="47">
        <f t="shared" si="139"/>
        <v>0</v>
      </c>
      <c r="AA110" s="45">
        <f t="shared" si="133"/>
        <v>0</v>
      </c>
      <c r="AB110" s="46">
        <f t="shared" si="140"/>
        <v>0</v>
      </c>
      <c r="AC110" s="46">
        <f t="shared" si="134"/>
        <v>0</v>
      </c>
      <c r="AD110" s="46">
        <f t="shared" si="134"/>
        <v>0</v>
      </c>
      <c r="AE110" s="46">
        <f t="shared" si="134"/>
        <v>0</v>
      </c>
      <c r="AF110" s="28">
        <f t="shared" si="141"/>
        <v>0</v>
      </c>
    </row>
    <row r="111" spans="1:32">
      <c r="B111" s="42" t="s">
        <v>214</v>
      </c>
      <c r="C111" s="6">
        <v>0</v>
      </c>
      <c r="D111" s="6">
        <v>0</v>
      </c>
      <c r="E111" s="373">
        <v>0</v>
      </c>
      <c r="F111" s="6"/>
      <c r="G111" s="374">
        <f t="shared" si="135"/>
        <v>0</v>
      </c>
      <c r="H111" s="43"/>
      <c r="I111" s="44"/>
      <c r="J111" s="44"/>
      <c r="K111" s="44"/>
      <c r="L111" s="28">
        <v>0</v>
      </c>
      <c r="M111" s="28">
        <v>0</v>
      </c>
      <c r="N111" s="28">
        <v>0</v>
      </c>
      <c r="O111" s="28">
        <v>0</v>
      </c>
      <c r="P111" s="45">
        <f t="shared" si="130"/>
        <v>0</v>
      </c>
      <c r="Q111" s="403"/>
      <c r="R111" s="46">
        <f t="shared" si="136"/>
        <v>0</v>
      </c>
      <c r="S111" s="46">
        <f t="shared" si="131"/>
        <v>0</v>
      </c>
      <c r="T111" s="46">
        <f t="shared" si="137"/>
        <v>0</v>
      </c>
      <c r="U111" s="46">
        <f t="shared" si="138"/>
        <v>0</v>
      </c>
      <c r="V111" s="45">
        <f t="shared" si="142"/>
        <v>0</v>
      </c>
      <c r="W111" s="47">
        <f t="shared" si="132"/>
        <v>0</v>
      </c>
      <c r="X111" s="47">
        <f t="shared" si="132"/>
        <v>0</v>
      </c>
      <c r="Y111" s="47">
        <v>0</v>
      </c>
      <c r="Z111" s="47">
        <f t="shared" si="139"/>
        <v>0</v>
      </c>
      <c r="AA111" s="45">
        <f t="shared" si="133"/>
        <v>0</v>
      </c>
      <c r="AB111" s="46">
        <f t="shared" si="140"/>
        <v>0</v>
      </c>
      <c r="AC111" s="46">
        <f t="shared" si="134"/>
        <v>0</v>
      </c>
      <c r="AD111" s="46">
        <f t="shared" si="134"/>
        <v>0</v>
      </c>
      <c r="AE111" s="46">
        <f t="shared" si="134"/>
        <v>0</v>
      </c>
      <c r="AF111" s="28">
        <f t="shared" si="141"/>
        <v>0</v>
      </c>
    </row>
    <row r="112" spans="1:32">
      <c r="B112" s="50" t="s">
        <v>437</v>
      </c>
      <c r="C112" s="28">
        <v>0</v>
      </c>
      <c r="D112" s="28">
        <v>0</v>
      </c>
      <c r="E112" s="40">
        <v>0</v>
      </c>
      <c r="F112" s="28"/>
      <c r="G112" s="374">
        <f t="shared" si="135"/>
        <v>0</v>
      </c>
      <c r="H112" s="43"/>
      <c r="I112" s="44"/>
      <c r="J112" s="44"/>
      <c r="K112" s="44"/>
      <c r="L112" s="28">
        <v>0</v>
      </c>
      <c r="M112" s="28">
        <v>0</v>
      </c>
      <c r="N112" s="28">
        <v>0</v>
      </c>
      <c r="O112" s="28">
        <v>0</v>
      </c>
      <c r="P112" s="45">
        <f t="shared" si="130"/>
        <v>0</v>
      </c>
      <c r="Q112" s="403"/>
      <c r="R112" s="46">
        <f t="shared" si="136"/>
        <v>0</v>
      </c>
      <c r="S112" s="46">
        <f t="shared" si="131"/>
        <v>0</v>
      </c>
      <c r="T112" s="46">
        <f t="shared" si="137"/>
        <v>0</v>
      </c>
      <c r="U112" s="46">
        <f t="shared" si="138"/>
        <v>0</v>
      </c>
      <c r="V112" s="45">
        <f t="shared" si="142"/>
        <v>0</v>
      </c>
      <c r="W112" s="47">
        <f>+C471*R112/R262</f>
        <v>0</v>
      </c>
      <c r="X112" s="47">
        <v>0</v>
      </c>
      <c r="Y112" s="47">
        <v>0</v>
      </c>
      <c r="Z112" s="47">
        <v>0</v>
      </c>
      <c r="AA112" s="45">
        <f t="shared" si="133"/>
        <v>0</v>
      </c>
      <c r="AB112" s="46">
        <f t="shared" si="140"/>
        <v>0</v>
      </c>
      <c r="AC112" s="46">
        <f t="shared" si="134"/>
        <v>0</v>
      </c>
      <c r="AD112" s="46">
        <f t="shared" si="134"/>
        <v>0</v>
      </c>
      <c r="AE112" s="46">
        <f t="shared" si="134"/>
        <v>0</v>
      </c>
      <c r="AF112" s="28">
        <f t="shared" si="141"/>
        <v>0</v>
      </c>
    </row>
    <row r="113" spans="1:32">
      <c r="B113" s="50" t="s">
        <v>219</v>
      </c>
      <c r="C113" s="28">
        <v>0</v>
      </c>
      <c r="D113" s="28">
        <v>0</v>
      </c>
      <c r="E113" s="40">
        <v>0</v>
      </c>
      <c r="F113" s="28"/>
      <c r="G113" s="374">
        <f t="shared" si="135"/>
        <v>0</v>
      </c>
      <c r="H113" s="43"/>
      <c r="I113" s="44"/>
      <c r="J113" s="44"/>
      <c r="K113" s="44"/>
      <c r="L113" s="28">
        <v>0</v>
      </c>
      <c r="M113" s="28">
        <v>0</v>
      </c>
      <c r="N113" s="28">
        <v>0</v>
      </c>
      <c r="O113" s="28">
        <v>0</v>
      </c>
      <c r="P113" s="45">
        <f t="shared" si="130"/>
        <v>0</v>
      </c>
      <c r="Q113" s="403"/>
      <c r="R113" s="46">
        <f t="shared" si="136"/>
        <v>0</v>
      </c>
      <c r="S113" s="46">
        <f t="shared" si="131"/>
        <v>0</v>
      </c>
      <c r="T113" s="46">
        <f t="shared" si="137"/>
        <v>0</v>
      </c>
      <c r="U113" s="46">
        <f t="shared" si="138"/>
        <v>0</v>
      </c>
      <c r="V113" s="45">
        <f t="shared" si="142"/>
        <v>0</v>
      </c>
      <c r="W113" s="47">
        <f>+C472*R113/R263</f>
        <v>0</v>
      </c>
      <c r="X113" s="47">
        <v>0</v>
      </c>
      <c r="Y113" s="47">
        <v>0</v>
      </c>
      <c r="Z113" s="47">
        <f t="shared" si="139"/>
        <v>0</v>
      </c>
      <c r="AA113" s="45">
        <f t="shared" si="133"/>
        <v>0</v>
      </c>
      <c r="AB113" s="46">
        <f t="shared" si="140"/>
        <v>0</v>
      </c>
      <c r="AC113" s="46">
        <f t="shared" si="134"/>
        <v>0</v>
      </c>
      <c r="AD113" s="46">
        <f t="shared" si="134"/>
        <v>0</v>
      </c>
      <c r="AE113" s="46">
        <f t="shared" si="134"/>
        <v>0</v>
      </c>
      <c r="AF113" s="28">
        <f t="shared" si="141"/>
        <v>0</v>
      </c>
    </row>
    <row r="114" spans="1:32">
      <c r="B114" s="42" t="s">
        <v>216</v>
      </c>
      <c r="C114" s="28">
        <v>0</v>
      </c>
      <c r="D114" s="28">
        <v>0</v>
      </c>
      <c r="E114" s="40">
        <v>0</v>
      </c>
      <c r="F114" s="28"/>
      <c r="G114" s="374">
        <f t="shared" si="135"/>
        <v>0</v>
      </c>
      <c r="H114" s="43"/>
      <c r="I114" s="44"/>
      <c r="J114" s="44"/>
      <c r="K114" s="44"/>
      <c r="L114" s="28">
        <v>0</v>
      </c>
      <c r="M114" s="28">
        <v>0</v>
      </c>
      <c r="N114" s="28">
        <v>0</v>
      </c>
      <c r="O114" s="28">
        <v>0</v>
      </c>
      <c r="P114" s="45">
        <f t="shared" si="130"/>
        <v>0</v>
      </c>
      <c r="Q114" s="403"/>
      <c r="R114" s="46">
        <f t="shared" si="136"/>
        <v>0</v>
      </c>
      <c r="S114" s="46">
        <f t="shared" si="131"/>
        <v>0</v>
      </c>
      <c r="T114" s="46">
        <f t="shared" si="137"/>
        <v>0</v>
      </c>
      <c r="U114" s="46">
        <f t="shared" si="138"/>
        <v>0</v>
      </c>
      <c r="V114" s="45">
        <f t="shared" si="142"/>
        <v>0</v>
      </c>
      <c r="W114" s="47">
        <v>0</v>
      </c>
      <c r="X114" s="47">
        <v>0</v>
      </c>
      <c r="Y114" s="47">
        <v>0</v>
      </c>
      <c r="Z114" s="47">
        <v>0</v>
      </c>
      <c r="AA114" s="45">
        <f t="shared" si="133"/>
        <v>0</v>
      </c>
      <c r="AB114" s="46">
        <f t="shared" si="140"/>
        <v>0</v>
      </c>
      <c r="AC114" s="46">
        <f t="shared" si="134"/>
        <v>0</v>
      </c>
      <c r="AD114" s="46">
        <f t="shared" si="134"/>
        <v>0</v>
      </c>
      <c r="AE114" s="46">
        <f t="shared" si="134"/>
        <v>0</v>
      </c>
      <c r="AF114" s="28">
        <f t="shared" si="141"/>
        <v>0</v>
      </c>
    </row>
    <row r="115" spans="1:32">
      <c r="B115" s="42"/>
      <c r="C115" s="28">
        <f>SUM(C106:C114)</f>
        <v>1045300.7</v>
      </c>
      <c r="D115" s="28">
        <f t="shared" ref="D115:F115" si="143">SUM(D106:D114)</f>
        <v>0</v>
      </c>
      <c r="E115" s="28">
        <f t="shared" si="143"/>
        <v>0</v>
      </c>
      <c r="F115" s="28">
        <f t="shared" si="143"/>
        <v>1892651.4500000002</v>
      </c>
      <c r="G115" s="28">
        <f>SUM(G106:G114)</f>
        <v>2937952.15</v>
      </c>
      <c r="H115" s="43"/>
      <c r="I115" s="44"/>
      <c r="J115" s="44"/>
      <c r="K115" s="44"/>
      <c r="L115" s="28">
        <f>SUM(L106:L114)</f>
        <v>0</v>
      </c>
      <c r="M115" s="28">
        <f>SUM(M106:M114)</f>
        <v>0</v>
      </c>
      <c r="N115" s="28">
        <f>SUM(N106:N114)</f>
        <v>0</v>
      </c>
      <c r="O115" s="28">
        <f>SUM(O106:O114)</f>
        <v>0</v>
      </c>
      <c r="P115" s="45">
        <f t="shared" si="130"/>
        <v>0</v>
      </c>
      <c r="Q115" s="403">
        <f>SUM(Q106:Q114)</f>
        <v>22112.48</v>
      </c>
      <c r="R115" s="46">
        <f t="shared" ref="R115:Y115" si="144">SUM(R106:R114)</f>
        <v>1045300.7</v>
      </c>
      <c r="S115" s="46">
        <f t="shared" si="144"/>
        <v>0</v>
      </c>
      <c r="T115" s="46">
        <f t="shared" si="144"/>
        <v>22112.48</v>
      </c>
      <c r="U115" s="46">
        <f t="shared" si="138"/>
        <v>1892651.4500000002</v>
      </c>
      <c r="V115" s="51">
        <f t="shared" si="144"/>
        <v>2960064.6299999994</v>
      </c>
      <c r="W115" s="46">
        <f t="shared" si="144"/>
        <v>1501008.7612364066</v>
      </c>
      <c r="X115" s="28">
        <f t="shared" si="144"/>
        <v>0</v>
      </c>
      <c r="Y115" s="28">
        <f t="shared" si="144"/>
        <v>0</v>
      </c>
      <c r="Z115" s="28">
        <f>SUM(Z106:Z114)</f>
        <v>1124426.1924366374</v>
      </c>
      <c r="AA115" s="45">
        <f t="shared" si="133"/>
        <v>2625434.9536730442</v>
      </c>
      <c r="AB115" s="46">
        <f>SUM(AB106:AB114)</f>
        <v>2546309.461236407</v>
      </c>
      <c r="AC115" s="46">
        <f t="shared" ref="AC115:AF115" si="145">SUM(AC106:AC114)</f>
        <v>0</v>
      </c>
      <c r="AD115" s="46">
        <f t="shared" si="145"/>
        <v>22112.48</v>
      </c>
      <c r="AE115" s="46">
        <f t="shared" si="145"/>
        <v>3017077.6424366371</v>
      </c>
      <c r="AF115" s="46">
        <f t="shared" si="145"/>
        <v>5585499.5836730441</v>
      </c>
    </row>
    <row r="116" spans="1:32">
      <c r="B116" s="58"/>
      <c r="C116" s="27">
        <f>2810380.56-1765079.86</f>
        <v>1045300.7</v>
      </c>
      <c r="D116" s="27"/>
      <c r="E116" s="59"/>
      <c r="F116" s="27">
        <f>1765079.86+127571.59</f>
        <v>1892651.4500000002</v>
      </c>
      <c r="G116" s="29">
        <f>SUM(C116:F116)</f>
        <v>2937952.1500000004</v>
      </c>
      <c r="R116" s="27"/>
      <c r="S116" s="27"/>
      <c r="T116" s="27"/>
      <c r="U116" s="27"/>
      <c r="V116" s="29"/>
    </row>
    <row r="117" spans="1:32">
      <c r="A117" s="389" t="s">
        <v>204</v>
      </c>
      <c r="B117" s="636" t="s">
        <v>225</v>
      </c>
      <c r="C117" s="636"/>
      <c r="D117" s="636"/>
      <c r="E117" s="636"/>
      <c r="F117" s="636"/>
      <c r="G117" s="636"/>
      <c r="R117" s="27"/>
      <c r="S117" s="27"/>
      <c r="T117" s="27"/>
      <c r="U117" s="27"/>
      <c r="V117" s="29"/>
    </row>
    <row r="118" spans="1:32">
      <c r="B118" s="55" t="s">
        <v>9</v>
      </c>
      <c r="C118" s="40" t="s">
        <v>206</v>
      </c>
      <c r="D118" s="40" t="s">
        <v>207</v>
      </c>
      <c r="E118" s="40" t="s">
        <v>10</v>
      </c>
      <c r="F118" s="40" t="s">
        <v>11</v>
      </c>
      <c r="G118" s="48" t="s">
        <v>208</v>
      </c>
      <c r="H118" s="43"/>
      <c r="I118" s="44"/>
      <c r="J118" s="44"/>
      <c r="K118" s="44"/>
      <c r="L118" s="28"/>
      <c r="M118" s="28"/>
      <c r="N118" s="28"/>
      <c r="O118" s="28"/>
      <c r="P118" s="45"/>
      <c r="Q118" s="403"/>
      <c r="R118" s="46"/>
      <c r="S118" s="28"/>
      <c r="T118" s="28"/>
      <c r="U118" s="28"/>
      <c r="V118" s="45"/>
      <c r="W118" s="56"/>
      <c r="X118" s="44"/>
      <c r="Y118" s="44"/>
      <c r="Z118" s="44"/>
      <c r="AA118" s="57"/>
      <c r="AB118" s="56"/>
      <c r="AC118" s="44"/>
      <c r="AD118" s="44"/>
      <c r="AE118" s="44"/>
      <c r="AF118" s="44"/>
    </row>
    <row r="119" spans="1:32">
      <c r="B119" s="42" t="s">
        <v>209</v>
      </c>
      <c r="C119" s="6"/>
      <c r="D119" s="6"/>
      <c r="E119" s="373">
        <v>0</v>
      </c>
      <c r="F119" s="6">
        <v>0</v>
      </c>
      <c r="G119" s="374">
        <f>SUM(C119:F119)</f>
        <v>0</v>
      </c>
      <c r="H119" s="43"/>
      <c r="I119" s="44"/>
      <c r="J119" s="44"/>
      <c r="K119" s="44"/>
      <c r="L119" s="28">
        <v>0</v>
      </c>
      <c r="M119" s="28">
        <v>0</v>
      </c>
      <c r="N119" s="28">
        <v>0</v>
      </c>
      <c r="O119" s="28">
        <v>0</v>
      </c>
      <c r="P119" s="45">
        <f t="shared" ref="P119:P128" si="146">SUM(L119:O119)</f>
        <v>0</v>
      </c>
      <c r="Q119" s="403"/>
      <c r="R119" s="46">
        <f>+C119+L119</f>
        <v>0</v>
      </c>
      <c r="S119" s="46">
        <f t="shared" ref="S119:S127" si="147">+D119+M119</f>
        <v>0</v>
      </c>
      <c r="T119" s="46">
        <f>+E119+N119+Q119</f>
        <v>0</v>
      </c>
      <c r="U119" s="46">
        <f>+K119</f>
        <v>0</v>
      </c>
      <c r="V119" s="45">
        <f>SUM(R119:U119)</f>
        <v>0</v>
      </c>
      <c r="W119" s="47">
        <f t="shared" ref="W119:X124" si="148">+C465*R119/R256</f>
        <v>0</v>
      </c>
      <c r="X119" s="47">
        <f t="shared" si="148"/>
        <v>0</v>
      </c>
      <c r="Y119" s="47">
        <v>0</v>
      </c>
      <c r="Z119" s="47">
        <f>+F465*U119/U256</f>
        <v>0</v>
      </c>
      <c r="AA119" s="45">
        <f>SUM(W119:Z119)</f>
        <v>0</v>
      </c>
      <c r="AB119" s="46">
        <f>+R119+W119</f>
        <v>0</v>
      </c>
      <c r="AC119" s="46">
        <f t="shared" ref="AC119:AE127" si="149">+S119+X119</f>
        <v>0</v>
      </c>
      <c r="AD119" s="46">
        <f t="shared" si="149"/>
        <v>0</v>
      </c>
      <c r="AE119" s="46">
        <f t="shared" si="149"/>
        <v>0</v>
      </c>
      <c r="AF119" s="28">
        <f>SUM(AB119:AE119)</f>
        <v>0</v>
      </c>
    </row>
    <row r="120" spans="1:32">
      <c r="B120" s="42" t="s">
        <v>210</v>
      </c>
      <c r="C120" s="6">
        <f>37792970.61+1240037.81</f>
        <v>39033008.420000002</v>
      </c>
      <c r="D120" s="6">
        <f>5309492.97+46800</f>
        <v>5356292.97</v>
      </c>
      <c r="E120" s="373">
        <v>0</v>
      </c>
      <c r="F120" s="6">
        <v>12988299.6</v>
      </c>
      <c r="G120" s="374">
        <f t="shared" ref="G120:G127" si="150">SUM(C120:F120)</f>
        <v>57377600.990000002</v>
      </c>
      <c r="H120" s="43">
        <f>+F128</f>
        <v>12988299.6</v>
      </c>
      <c r="I120" s="28">
        <f>+C120+D120</f>
        <v>44389301.390000001</v>
      </c>
      <c r="J120" s="28">
        <f>+I120*100/I128</f>
        <v>91.723758388165109</v>
      </c>
      <c r="K120" s="28">
        <f>+H120*J120/100</f>
        <v>11913356.543835016</v>
      </c>
      <c r="L120" s="28">
        <v>0</v>
      </c>
      <c r="M120" s="28">
        <v>0</v>
      </c>
      <c r="N120" s="28"/>
      <c r="O120" s="28">
        <v>0</v>
      </c>
      <c r="P120" s="45">
        <f t="shared" si="146"/>
        <v>0</v>
      </c>
      <c r="Q120" s="403">
        <v>596268.93999999994</v>
      </c>
      <c r="R120" s="46">
        <f t="shared" ref="R120:R127" si="151">+C120+L120</f>
        <v>39033008.420000002</v>
      </c>
      <c r="S120" s="46">
        <f t="shared" si="147"/>
        <v>5356292.97</v>
      </c>
      <c r="T120" s="46">
        <f t="shared" ref="T120:T127" si="152">+E120+N120+Q120</f>
        <v>596268.93999999994</v>
      </c>
      <c r="U120" s="46">
        <f t="shared" ref="U120:U127" si="153">+K120</f>
        <v>11913356.543835016</v>
      </c>
      <c r="V120" s="45">
        <f t="shared" ref="V120:V127" si="154">SUM(R120:U120)</f>
        <v>56898926.873835012</v>
      </c>
      <c r="W120" s="47">
        <f t="shared" si="148"/>
        <v>58622286.354524583</v>
      </c>
      <c r="X120" s="47">
        <f t="shared" si="148"/>
        <v>3044672.5691994573</v>
      </c>
      <c r="Y120" s="47">
        <v>0</v>
      </c>
      <c r="Z120" s="47">
        <f t="shared" ref="Z120:Z126" si="155">+F466*U120/U257</f>
        <v>7528063.9235653402</v>
      </c>
      <c r="AA120" s="45">
        <f t="shared" ref="AA120:AA126" si="156">SUM(W120:Z120)</f>
        <v>69195022.847289383</v>
      </c>
      <c r="AB120" s="46">
        <f t="shared" ref="AB120:AB127" si="157">+R120+W120</f>
        <v>97655294.774524584</v>
      </c>
      <c r="AC120" s="46">
        <f t="shared" si="149"/>
        <v>8400965.5391994566</v>
      </c>
      <c r="AD120" s="46">
        <f t="shared" si="149"/>
        <v>596268.93999999994</v>
      </c>
      <c r="AE120" s="46">
        <f t="shared" si="149"/>
        <v>19441420.467400357</v>
      </c>
      <c r="AF120" s="28">
        <f t="shared" ref="AF120:AF127" si="158">SUM(AB120:AE120)</f>
        <v>126093949.7211244</v>
      </c>
    </row>
    <row r="121" spans="1:32" ht="23.25">
      <c r="B121" s="42" t="s">
        <v>211</v>
      </c>
      <c r="C121" s="6">
        <v>209250</v>
      </c>
      <c r="D121" s="373">
        <v>0</v>
      </c>
      <c r="E121" s="375">
        <v>0</v>
      </c>
      <c r="F121" s="373">
        <v>0</v>
      </c>
      <c r="G121" s="374">
        <f t="shared" si="150"/>
        <v>209250</v>
      </c>
      <c r="H121" s="43"/>
      <c r="I121" s="28">
        <f t="shared" ref="I121:I127" si="159">+C121+D121</f>
        <v>209250</v>
      </c>
      <c r="J121" s="28">
        <f>+I121*100/I128</f>
        <v>0.43238338612482385</v>
      </c>
      <c r="K121" s="28">
        <f>+H120*J121/100</f>
        <v>56159.249610516948</v>
      </c>
      <c r="L121" s="28">
        <v>0</v>
      </c>
      <c r="M121" s="28">
        <v>0</v>
      </c>
      <c r="N121" s="28">
        <v>0</v>
      </c>
      <c r="O121" s="28">
        <v>0</v>
      </c>
      <c r="P121" s="45">
        <f t="shared" si="146"/>
        <v>0</v>
      </c>
      <c r="Q121" s="403"/>
      <c r="R121" s="46">
        <f t="shared" si="151"/>
        <v>209250</v>
      </c>
      <c r="S121" s="46">
        <f t="shared" si="147"/>
        <v>0</v>
      </c>
      <c r="T121" s="46">
        <f t="shared" si="152"/>
        <v>0</v>
      </c>
      <c r="U121" s="46">
        <f t="shared" si="153"/>
        <v>56159.249610516948</v>
      </c>
      <c r="V121" s="45">
        <f t="shared" si="154"/>
        <v>265409.24961051694</v>
      </c>
      <c r="W121" s="47">
        <f t="shared" si="148"/>
        <v>27082.281477026503</v>
      </c>
      <c r="X121" s="47">
        <f t="shared" si="148"/>
        <v>0</v>
      </c>
      <c r="Y121" s="47">
        <v>0</v>
      </c>
      <c r="Z121" s="47">
        <f t="shared" si="155"/>
        <v>0</v>
      </c>
      <c r="AA121" s="45">
        <f t="shared" si="156"/>
        <v>27082.281477026503</v>
      </c>
      <c r="AB121" s="46">
        <f t="shared" si="157"/>
        <v>236332.2814770265</v>
      </c>
      <c r="AC121" s="46">
        <f t="shared" si="149"/>
        <v>0</v>
      </c>
      <c r="AD121" s="46">
        <f t="shared" si="149"/>
        <v>0</v>
      </c>
      <c r="AE121" s="46">
        <f t="shared" si="149"/>
        <v>56159.249610516948</v>
      </c>
      <c r="AF121" s="28">
        <f t="shared" si="158"/>
        <v>292491.53108754347</v>
      </c>
    </row>
    <row r="122" spans="1:32">
      <c r="B122" s="42" t="s">
        <v>212</v>
      </c>
      <c r="C122" s="6">
        <v>270000</v>
      </c>
      <c r="D122" s="6">
        <v>104000</v>
      </c>
      <c r="E122" s="373">
        <v>0</v>
      </c>
      <c r="F122" s="6">
        <v>0</v>
      </c>
      <c r="G122" s="374">
        <f t="shared" si="150"/>
        <v>374000</v>
      </c>
      <c r="H122" s="43"/>
      <c r="I122" s="28">
        <f t="shared" si="159"/>
        <v>374000</v>
      </c>
      <c r="J122" s="28">
        <f>+I122*100/I128</f>
        <v>0.77281427197459551</v>
      </c>
      <c r="K122" s="28">
        <f>+H120*J122/100</f>
        <v>100375.4329956193</v>
      </c>
      <c r="L122" s="28">
        <v>0</v>
      </c>
      <c r="M122" s="28">
        <v>0</v>
      </c>
      <c r="N122" s="28">
        <v>0</v>
      </c>
      <c r="O122" s="28">
        <v>0</v>
      </c>
      <c r="P122" s="45">
        <f t="shared" si="146"/>
        <v>0</v>
      </c>
      <c r="Q122" s="403"/>
      <c r="R122" s="46">
        <f t="shared" si="151"/>
        <v>270000</v>
      </c>
      <c r="S122" s="46">
        <f t="shared" si="147"/>
        <v>104000</v>
      </c>
      <c r="T122" s="46">
        <f t="shared" si="152"/>
        <v>0</v>
      </c>
      <c r="U122" s="46">
        <f t="shared" si="153"/>
        <v>100375.4329956193</v>
      </c>
      <c r="V122" s="45">
        <f t="shared" si="154"/>
        <v>474375.43299561931</v>
      </c>
      <c r="W122" s="47">
        <f t="shared" si="148"/>
        <v>195732.16212079619</v>
      </c>
      <c r="X122" s="47">
        <f t="shared" si="148"/>
        <v>16317.629647593671</v>
      </c>
      <c r="Y122" s="47">
        <v>0</v>
      </c>
      <c r="Z122" s="47">
        <f t="shared" si="155"/>
        <v>21333.065996502861</v>
      </c>
      <c r="AA122" s="45">
        <f t="shared" si="156"/>
        <v>233382.85776489275</v>
      </c>
      <c r="AB122" s="46">
        <f t="shared" si="157"/>
        <v>465732.16212079616</v>
      </c>
      <c r="AC122" s="46">
        <f t="shared" si="149"/>
        <v>120317.62964759367</v>
      </c>
      <c r="AD122" s="46">
        <f t="shared" si="149"/>
        <v>0</v>
      </c>
      <c r="AE122" s="46">
        <f t="shared" si="149"/>
        <v>121708.49899212216</v>
      </c>
      <c r="AF122" s="28">
        <f t="shared" si="158"/>
        <v>707758.290760512</v>
      </c>
    </row>
    <row r="123" spans="1:32">
      <c r="B123" s="42" t="s">
        <v>213</v>
      </c>
      <c r="C123" s="6">
        <v>2127100</v>
      </c>
      <c r="D123" s="6">
        <v>12500</v>
      </c>
      <c r="E123" s="373">
        <v>0</v>
      </c>
      <c r="F123" s="6">
        <v>0</v>
      </c>
      <c r="G123" s="374">
        <f t="shared" si="150"/>
        <v>2139600</v>
      </c>
      <c r="H123" s="43"/>
      <c r="I123" s="28">
        <f t="shared" si="159"/>
        <v>2139600</v>
      </c>
      <c r="J123" s="28">
        <f>+I123*100/I128</f>
        <v>4.4211588671573381</v>
      </c>
      <c r="K123" s="28">
        <f>+H120*J123/100</f>
        <v>574233.35945836105</v>
      </c>
      <c r="L123" s="28">
        <v>0</v>
      </c>
      <c r="M123" s="28">
        <v>0</v>
      </c>
      <c r="N123" s="28">
        <v>0</v>
      </c>
      <c r="O123" s="28">
        <v>0</v>
      </c>
      <c r="P123" s="45">
        <f t="shared" si="146"/>
        <v>0</v>
      </c>
      <c r="Q123" s="403"/>
      <c r="R123" s="46">
        <f t="shared" si="151"/>
        <v>2127100</v>
      </c>
      <c r="S123" s="46">
        <f t="shared" si="147"/>
        <v>12500</v>
      </c>
      <c r="T123" s="46">
        <f t="shared" si="152"/>
        <v>0</v>
      </c>
      <c r="U123" s="46">
        <f t="shared" si="153"/>
        <v>574233.35945836105</v>
      </c>
      <c r="V123" s="45">
        <f t="shared" si="154"/>
        <v>2713833.3594583608</v>
      </c>
      <c r="W123" s="47">
        <f t="shared" si="148"/>
        <v>0</v>
      </c>
      <c r="X123" s="47">
        <f t="shared" si="148"/>
        <v>0</v>
      </c>
      <c r="Y123" s="47">
        <v>0</v>
      </c>
      <c r="Z123" s="47">
        <f t="shared" si="155"/>
        <v>0</v>
      </c>
      <c r="AA123" s="45">
        <f t="shared" si="156"/>
        <v>0</v>
      </c>
      <c r="AB123" s="46">
        <f t="shared" si="157"/>
        <v>2127100</v>
      </c>
      <c r="AC123" s="46">
        <f t="shared" si="149"/>
        <v>12500</v>
      </c>
      <c r="AD123" s="46">
        <f t="shared" si="149"/>
        <v>0</v>
      </c>
      <c r="AE123" s="46">
        <f t="shared" si="149"/>
        <v>574233.35945836105</v>
      </c>
      <c r="AF123" s="28">
        <f t="shared" si="158"/>
        <v>2713833.3594583608</v>
      </c>
    </row>
    <row r="124" spans="1:32">
      <c r="B124" s="42" t="s">
        <v>214</v>
      </c>
      <c r="C124" s="6">
        <v>1124900</v>
      </c>
      <c r="D124" s="6">
        <v>57500</v>
      </c>
      <c r="E124" s="373">
        <v>0</v>
      </c>
      <c r="F124" s="6">
        <v>0</v>
      </c>
      <c r="G124" s="374">
        <f t="shared" si="150"/>
        <v>1182400</v>
      </c>
      <c r="H124" s="43"/>
      <c r="I124" s="28">
        <f t="shared" si="159"/>
        <v>1182400</v>
      </c>
      <c r="J124" s="28">
        <f>+I124*100/I128</f>
        <v>2.4432502544993628</v>
      </c>
      <c r="K124" s="28">
        <f>+H120*J124/100</f>
        <v>317336.66303213971</v>
      </c>
      <c r="L124" s="28">
        <v>0</v>
      </c>
      <c r="M124" s="28">
        <v>0</v>
      </c>
      <c r="N124" s="28">
        <v>0</v>
      </c>
      <c r="O124" s="28">
        <v>0</v>
      </c>
      <c r="P124" s="45">
        <f t="shared" si="146"/>
        <v>0</v>
      </c>
      <c r="Q124" s="403"/>
      <c r="R124" s="46">
        <f t="shared" si="151"/>
        <v>1124900</v>
      </c>
      <c r="S124" s="46">
        <f t="shared" si="147"/>
        <v>57500</v>
      </c>
      <c r="T124" s="46">
        <f t="shared" si="152"/>
        <v>0</v>
      </c>
      <c r="U124" s="46">
        <f t="shared" si="153"/>
        <v>317336.66303213971</v>
      </c>
      <c r="V124" s="45">
        <f t="shared" si="154"/>
        <v>1499736.6630321397</v>
      </c>
      <c r="W124" s="47">
        <f t="shared" si="148"/>
        <v>0</v>
      </c>
      <c r="X124" s="47">
        <f t="shared" si="148"/>
        <v>0</v>
      </c>
      <c r="Y124" s="47">
        <v>0</v>
      </c>
      <c r="Z124" s="47">
        <f t="shared" si="155"/>
        <v>0</v>
      </c>
      <c r="AA124" s="45">
        <f t="shared" si="156"/>
        <v>0</v>
      </c>
      <c r="AB124" s="46">
        <f t="shared" si="157"/>
        <v>1124900</v>
      </c>
      <c r="AC124" s="46">
        <f t="shared" si="149"/>
        <v>57500</v>
      </c>
      <c r="AD124" s="46">
        <f t="shared" si="149"/>
        <v>0</v>
      </c>
      <c r="AE124" s="46">
        <f t="shared" si="149"/>
        <v>317336.66303213971</v>
      </c>
      <c r="AF124" s="28">
        <f t="shared" si="158"/>
        <v>1499736.6630321397</v>
      </c>
    </row>
    <row r="125" spans="1:32">
      <c r="B125" s="50" t="s">
        <v>437</v>
      </c>
      <c r="C125" s="28">
        <v>0</v>
      </c>
      <c r="D125" s="28">
        <v>0</v>
      </c>
      <c r="E125" s="40">
        <v>0</v>
      </c>
      <c r="F125" s="28">
        <v>0</v>
      </c>
      <c r="G125" s="374">
        <f t="shared" si="150"/>
        <v>0</v>
      </c>
      <c r="H125" s="43"/>
      <c r="I125" s="28">
        <f t="shared" si="159"/>
        <v>0</v>
      </c>
      <c r="J125" s="28">
        <f>+I125*100/I128</f>
        <v>0</v>
      </c>
      <c r="K125" s="28">
        <f>+H120*J125/100</f>
        <v>0</v>
      </c>
      <c r="L125" s="28">
        <v>0</v>
      </c>
      <c r="M125" s="28">
        <v>0</v>
      </c>
      <c r="N125" s="28">
        <v>0</v>
      </c>
      <c r="O125" s="28">
        <v>0</v>
      </c>
      <c r="P125" s="45">
        <f t="shared" si="146"/>
        <v>0</v>
      </c>
      <c r="Q125" s="403"/>
      <c r="R125" s="46">
        <f t="shared" si="151"/>
        <v>0</v>
      </c>
      <c r="S125" s="46">
        <f t="shared" si="147"/>
        <v>0</v>
      </c>
      <c r="T125" s="46">
        <f t="shared" si="152"/>
        <v>0</v>
      </c>
      <c r="U125" s="46">
        <f t="shared" si="153"/>
        <v>0</v>
      </c>
      <c r="V125" s="45">
        <f t="shared" si="154"/>
        <v>0</v>
      </c>
      <c r="W125" s="47">
        <f>+C471*R125/R262</f>
        <v>0</v>
      </c>
      <c r="X125" s="47">
        <v>0</v>
      </c>
      <c r="Y125" s="47">
        <v>0</v>
      </c>
      <c r="Z125" s="47">
        <v>0</v>
      </c>
      <c r="AA125" s="45">
        <f t="shared" si="156"/>
        <v>0</v>
      </c>
      <c r="AB125" s="46">
        <f t="shared" si="157"/>
        <v>0</v>
      </c>
      <c r="AC125" s="46">
        <f t="shared" si="149"/>
        <v>0</v>
      </c>
      <c r="AD125" s="46">
        <f t="shared" si="149"/>
        <v>0</v>
      </c>
      <c r="AE125" s="46">
        <f t="shared" si="149"/>
        <v>0</v>
      </c>
      <c r="AF125" s="28">
        <f t="shared" si="158"/>
        <v>0</v>
      </c>
    </row>
    <row r="126" spans="1:32">
      <c r="B126" s="50" t="s">
        <v>219</v>
      </c>
      <c r="C126" s="28">
        <v>100000</v>
      </c>
      <c r="D126" s="28">
        <v>0</v>
      </c>
      <c r="E126" s="40">
        <v>0</v>
      </c>
      <c r="F126" s="28">
        <v>0</v>
      </c>
      <c r="G126" s="374">
        <f t="shared" si="150"/>
        <v>100000</v>
      </c>
      <c r="H126" s="43"/>
      <c r="I126" s="28">
        <f t="shared" si="159"/>
        <v>100000</v>
      </c>
      <c r="J126" s="28">
        <f>+I126*100/I128</f>
        <v>0.20663483207876884</v>
      </c>
      <c r="K126" s="28">
        <f>+H120*J126/100</f>
        <v>26838.351068347405</v>
      </c>
      <c r="L126" s="28">
        <v>0</v>
      </c>
      <c r="M126" s="28">
        <v>0</v>
      </c>
      <c r="N126" s="28">
        <v>0</v>
      </c>
      <c r="O126" s="28">
        <v>0</v>
      </c>
      <c r="P126" s="45">
        <f t="shared" si="146"/>
        <v>0</v>
      </c>
      <c r="Q126" s="403"/>
      <c r="R126" s="46">
        <f t="shared" si="151"/>
        <v>100000</v>
      </c>
      <c r="S126" s="46">
        <f t="shared" si="147"/>
        <v>0</v>
      </c>
      <c r="T126" s="46">
        <f t="shared" si="152"/>
        <v>0</v>
      </c>
      <c r="U126" s="46">
        <f t="shared" si="153"/>
        <v>26838.351068347405</v>
      </c>
      <c r="V126" s="45">
        <f t="shared" si="154"/>
        <v>126838.3510683474</v>
      </c>
      <c r="W126" s="47">
        <f>+C472*R126/R263</f>
        <v>81635.273330419906</v>
      </c>
      <c r="X126" s="47">
        <v>0</v>
      </c>
      <c r="Y126" s="47">
        <v>0</v>
      </c>
      <c r="Z126" s="47">
        <f t="shared" si="155"/>
        <v>5181.6860382655732</v>
      </c>
      <c r="AA126" s="45">
        <f t="shared" si="156"/>
        <v>86816.959368685479</v>
      </c>
      <c r="AB126" s="46">
        <f t="shared" si="157"/>
        <v>181635.27333041991</v>
      </c>
      <c r="AC126" s="46">
        <f t="shared" si="149"/>
        <v>0</v>
      </c>
      <c r="AD126" s="46">
        <f t="shared" si="149"/>
        <v>0</v>
      </c>
      <c r="AE126" s="46">
        <f t="shared" si="149"/>
        <v>32020.037106612977</v>
      </c>
      <c r="AF126" s="28">
        <f t="shared" si="158"/>
        <v>213655.31043703289</v>
      </c>
    </row>
    <row r="127" spans="1:32">
      <c r="B127" s="42" t="s">
        <v>216</v>
      </c>
      <c r="C127" s="28">
        <v>0</v>
      </c>
      <c r="D127" s="28">
        <v>0</v>
      </c>
      <c r="E127" s="40">
        <v>0</v>
      </c>
      <c r="F127" s="28">
        <v>0</v>
      </c>
      <c r="G127" s="374">
        <f t="shared" si="150"/>
        <v>0</v>
      </c>
      <c r="H127" s="43"/>
      <c r="I127" s="28">
        <f t="shared" si="159"/>
        <v>0</v>
      </c>
      <c r="J127" s="44"/>
      <c r="K127" s="44"/>
      <c r="L127" s="28">
        <v>0</v>
      </c>
      <c r="M127" s="28">
        <v>0</v>
      </c>
      <c r="N127" s="28">
        <v>0</v>
      </c>
      <c r="O127" s="28">
        <v>0</v>
      </c>
      <c r="P127" s="45">
        <f t="shared" si="146"/>
        <v>0</v>
      </c>
      <c r="Q127" s="403"/>
      <c r="R127" s="46">
        <f t="shared" si="151"/>
        <v>0</v>
      </c>
      <c r="S127" s="46">
        <f t="shared" si="147"/>
        <v>0</v>
      </c>
      <c r="T127" s="46">
        <f t="shared" si="152"/>
        <v>0</v>
      </c>
      <c r="U127" s="46">
        <f t="shared" si="153"/>
        <v>0</v>
      </c>
      <c r="V127" s="45">
        <f t="shared" si="154"/>
        <v>0</v>
      </c>
      <c r="W127" s="47">
        <v>0</v>
      </c>
      <c r="X127" s="47">
        <v>0</v>
      </c>
      <c r="Y127" s="47">
        <v>0</v>
      </c>
      <c r="Z127" s="47">
        <v>0</v>
      </c>
      <c r="AA127" s="45">
        <f>SUM(W127:Z127)</f>
        <v>0</v>
      </c>
      <c r="AB127" s="46">
        <f t="shared" si="157"/>
        <v>0</v>
      </c>
      <c r="AC127" s="46">
        <f t="shared" si="149"/>
        <v>0</v>
      </c>
      <c r="AD127" s="46">
        <f t="shared" si="149"/>
        <v>0</v>
      </c>
      <c r="AE127" s="46">
        <f t="shared" si="149"/>
        <v>0</v>
      </c>
      <c r="AF127" s="28">
        <f t="shared" si="158"/>
        <v>0</v>
      </c>
    </row>
    <row r="128" spans="1:32">
      <c r="B128" s="42"/>
      <c r="C128" s="28">
        <f>SUM(C119:C127)</f>
        <v>42864258.420000002</v>
      </c>
      <c r="D128" s="28">
        <f t="shared" ref="D128:F128" si="160">SUM(D119:D127)</f>
        <v>5530292.9699999997</v>
      </c>
      <c r="E128" s="28">
        <f t="shared" si="160"/>
        <v>0</v>
      </c>
      <c r="F128" s="28">
        <f t="shared" si="160"/>
        <v>12988299.6</v>
      </c>
      <c r="G128" s="45">
        <f>SUM(G119:G127)</f>
        <v>61382850.990000002</v>
      </c>
      <c r="H128" s="43"/>
      <c r="I128" s="28">
        <f>SUM(I120:I127)</f>
        <v>48394551.390000001</v>
      </c>
      <c r="J128" s="28">
        <f>SUM(J120:J127)</f>
        <v>99.999999999999986</v>
      </c>
      <c r="K128" s="28">
        <f>SUM(K120:K127)</f>
        <v>12988299.600000001</v>
      </c>
      <c r="L128" s="28">
        <f>SUM(L119:L127)</f>
        <v>0</v>
      </c>
      <c r="M128" s="28">
        <f>SUM(M119:M127)</f>
        <v>0</v>
      </c>
      <c r="N128" s="28">
        <f>SUM(N119:N127)</f>
        <v>0</v>
      </c>
      <c r="O128" s="28">
        <f>SUM(O119:O127)</f>
        <v>0</v>
      </c>
      <c r="P128" s="45">
        <f t="shared" si="146"/>
        <v>0</v>
      </c>
      <c r="Q128" s="403">
        <f>SUM(Q119:Q127)</f>
        <v>596268.93999999994</v>
      </c>
      <c r="R128" s="46">
        <f t="shared" ref="R128:Y128" si="161">SUM(R119:R127)</f>
        <v>42864258.420000002</v>
      </c>
      <c r="S128" s="46">
        <f t="shared" si="161"/>
        <v>5530292.9699999997</v>
      </c>
      <c r="T128" s="46">
        <f t="shared" si="161"/>
        <v>596268.93999999994</v>
      </c>
      <c r="U128" s="46">
        <f>SUM(U119:U127)</f>
        <v>12988299.600000001</v>
      </c>
      <c r="V128" s="51">
        <f t="shared" si="161"/>
        <v>61979119.929999985</v>
      </c>
      <c r="W128" s="46">
        <f t="shared" si="161"/>
        <v>58926736.071452826</v>
      </c>
      <c r="X128" s="28">
        <f t="shared" si="161"/>
        <v>3060990.1988470508</v>
      </c>
      <c r="Y128" s="28">
        <f t="shared" si="161"/>
        <v>0</v>
      </c>
      <c r="Z128" s="28">
        <f>SUM(Z119:Z127)</f>
        <v>7554578.6756001087</v>
      </c>
      <c r="AA128" s="45">
        <f>SUM(W128:Z128)</f>
        <v>69542304.945899978</v>
      </c>
      <c r="AB128" s="46">
        <f>SUM(AB119:AB127)</f>
        <v>101790994.49145281</v>
      </c>
      <c r="AC128" s="46">
        <f t="shared" ref="AC128:AF128" si="162">SUM(AC119:AC127)</f>
        <v>8591283.1688470505</v>
      </c>
      <c r="AD128" s="46">
        <f t="shared" si="162"/>
        <v>596268.93999999994</v>
      </c>
      <c r="AE128" s="46">
        <f t="shared" si="162"/>
        <v>20542878.275600113</v>
      </c>
      <c r="AF128" s="46">
        <f t="shared" si="162"/>
        <v>131521424.8759</v>
      </c>
    </row>
    <row r="129" spans="1:32">
      <c r="B129" s="58"/>
      <c r="C129" s="27">
        <f>55063692.27-12199433.85</f>
        <v>42864258.420000002</v>
      </c>
      <c r="D129" s="27">
        <f>6319158.72-788865.75</f>
        <v>5530292.9699999997</v>
      </c>
      <c r="E129" s="59">
        <v>0</v>
      </c>
      <c r="F129" s="60">
        <f>12199433.85+788865.75</f>
        <v>12988299.6</v>
      </c>
      <c r="G129" s="29">
        <f>SUM(C129:F129)</f>
        <v>61382850.990000002</v>
      </c>
      <c r="R129" s="27"/>
      <c r="S129" s="27"/>
      <c r="T129" s="27"/>
      <c r="U129" s="27"/>
      <c r="V129" s="29"/>
    </row>
    <row r="130" spans="1:32">
      <c r="B130" s="58"/>
      <c r="C130" s="27"/>
      <c r="D130" s="27"/>
      <c r="E130" s="59"/>
      <c r="F130" s="60"/>
      <c r="G130" s="29"/>
      <c r="R130" s="27"/>
      <c r="S130" s="27"/>
      <c r="T130" s="27"/>
      <c r="U130" s="27"/>
      <c r="V130" s="29"/>
    </row>
    <row r="131" spans="1:32">
      <c r="B131" s="58"/>
      <c r="C131" s="27"/>
      <c r="D131" s="27"/>
      <c r="E131" s="59"/>
      <c r="F131" s="60"/>
      <c r="G131" s="29"/>
      <c r="R131" s="27"/>
      <c r="S131" s="27"/>
      <c r="T131" s="27"/>
      <c r="U131" s="27"/>
      <c r="V131" s="29"/>
    </row>
    <row r="132" spans="1:32">
      <c r="B132" s="58"/>
      <c r="C132" s="27"/>
      <c r="D132" s="27"/>
      <c r="E132" s="59"/>
      <c r="F132" s="60"/>
      <c r="G132" s="29"/>
      <c r="R132" s="27"/>
      <c r="S132" s="27"/>
      <c r="T132" s="27"/>
      <c r="U132" s="27"/>
      <c r="V132" s="29"/>
    </row>
    <row r="133" spans="1:32">
      <c r="B133" s="58"/>
      <c r="C133" s="27"/>
      <c r="D133" s="27"/>
      <c r="E133" s="59"/>
      <c r="F133" s="60"/>
      <c r="G133" s="33"/>
      <c r="R133" s="27"/>
      <c r="S133" s="27"/>
      <c r="T133" s="27"/>
      <c r="U133" s="27"/>
      <c r="V133" s="29"/>
    </row>
    <row r="134" spans="1:32">
      <c r="B134" s="58"/>
      <c r="C134" s="27"/>
      <c r="D134" s="27"/>
      <c r="E134" s="59"/>
      <c r="F134" s="60">
        <f>8890904.1+818828.93</f>
        <v>9709733.0299999993</v>
      </c>
      <c r="G134" s="33"/>
      <c r="R134" s="27"/>
      <c r="S134" s="27"/>
      <c r="T134" s="27"/>
      <c r="U134" s="27"/>
      <c r="V134" s="29"/>
    </row>
    <row r="135" spans="1:32">
      <c r="A135" s="389" t="s">
        <v>204</v>
      </c>
      <c r="B135" s="636" t="s">
        <v>226</v>
      </c>
      <c r="C135" s="636"/>
      <c r="D135" s="636"/>
      <c r="E135" s="636"/>
      <c r="F135" s="636"/>
      <c r="G135" s="636"/>
      <c r="R135" s="27"/>
      <c r="S135" s="27"/>
      <c r="T135" s="27"/>
      <c r="U135" s="27"/>
      <c r="V135" s="29"/>
    </row>
    <row r="136" spans="1:32">
      <c r="B136" s="55" t="s">
        <v>9</v>
      </c>
      <c r="C136" s="40" t="s">
        <v>206</v>
      </c>
      <c r="D136" s="40" t="s">
        <v>207</v>
      </c>
      <c r="E136" s="40" t="s">
        <v>10</v>
      </c>
      <c r="F136" s="40" t="s">
        <v>11</v>
      </c>
      <c r="G136" s="48" t="s">
        <v>208</v>
      </c>
      <c r="H136" s="43"/>
      <c r="I136" s="44"/>
      <c r="J136" s="44"/>
      <c r="K136" s="44"/>
      <c r="L136" s="28"/>
      <c r="M136" s="28"/>
      <c r="N136" s="28"/>
      <c r="O136" s="28"/>
      <c r="P136" s="45"/>
      <c r="Q136" s="403"/>
      <c r="R136" s="46"/>
      <c r="S136" s="28"/>
      <c r="T136" s="28"/>
      <c r="U136" s="28"/>
      <c r="V136" s="45"/>
      <c r="W136" s="56"/>
      <c r="X136" s="44"/>
      <c r="Y136" s="44"/>
      <c r="Z136" s="44"/>
      <c r="AA136" s="57"/>
      <c r="AB136" s="56"/>
      <c r="AC136" s="44"/>
      <c r="AD136" s="44"/>
      <c r="AE136" s="44"/>
      <c r="AF136" s="44"/>
    </row>
    <row r="137" spans="1:32">
      <c r="B137" s="42" t="s">
        <v>209</v>
      </c>
      <c r="C137" s="6">
        <v>0</v>
      </c>
      <c r="D137" s="6">
        <v>0</v>
      </c>
      <c r="E137" s="373">
        <v>0</v>
      </c>
      <c r="F137" s="6">
        <v>0</v>
      </c>
      <c r="G137" s="374">
        <f t="shared" ref="G137:G145" si="163">SUM(C137:F137)</f>
        <v>0</v>
      </c>
      <c r="H137" s="43"/>
      <c r="I137" s="44"/>
      <c r="J137" s="44"/>
      <c r="K137" s="44"/>
      <c r="L137" s="28">
        <v>0</v>
      </c>
      <c r="M137" s="28">
        <v>0</v>
      </c>
      <c r="N137" s="28">
        <v>0</v>
      </c>
      <c r="O137" s="28">
        <v>0</v>
      </c>
      <c r="P137" s="45">
        <f t="shared" ref="P137:P146" si="164">SUM(L137:O137)</f>
        <v>0</v>
      </c>
      <c r="Q137" s="403"/>
      <c r="R137" s="46">
        <f>+C137+L137</f>
        <v>0</v>
      </c>
      <c r="S137" s="46">
        <f t="shared" ref="S137:S145" si="165">+D137+M137</f>
        <v>0</v>
      </c>
      <c r="T137" s="46">
        <f>+E137+N137+Q137</f>
        <v>0</v>
      </c>
      <c r="U137" s="46">
        <f>+F137</f>
        <v>0</v>
      </c>
      <c r="V137" s="45">
        <f>SUM(R137:U137)</f>
        <v>0</v>
      </c>
      <c r="W137" s="47">
        <f t="shared" ref="W137:X142" si="166">+C465*R137/R256</f>
        <v>0</v>
      </c>
      <c r="X137" s="47">
        <f t="shared" si="166"/>
        <v>0</v>
      </c>
      <c r="Y137" s="47">
        <v>0</v>
      </c>
      <c r="Z137" s="47">
        <f>+F465*U137/U256</f>
        <v>0</v>
      </c>
      <c r="AA137" s="45">
        <f>SUM(W137:Z137)</f>
        <v>0</v>
      </c>
      <c r="AB137" s="46">
        <f>+R137+W137</f>
        <v>0</v>
      </c>
      <c r="AC137" s="46">
        <f t="shared" ref="AC137:AE145" si="167">+S137+X137</f>
        <v>0</v>
      </c>
      <c r="AD137" s="46">
        <f t="shared" si="167"/>
        <v>0</v>
      </c>
      <c r="AE137" s="46">
        <f t="shared" si="167"/>
        <v>0</v>
      </c>
      <c r="AF137" s="28">
        <f>SUM(AB137:AE137)</f>
        <v>0</v>
      </c>
    </row>
    <row r="138" spans="1:32">
      <c r="B138" s="42" t="s">
        <v>210</v>
      </c>
      <c r="C138" s="6">
        <v>17049300.609999999</v>
      </c>
      <c r="D138" s="6">
        <f>698932.61+130000</f>
        <v>828932.61</v>
      </c>
      <c r="E138" s="373">
        <v>0</v>
      </c>
      <c r="F138" s="6">
        <v>8835857.0600000005</v>
      </c>
      <c r="G138" s="374">
        <f>SUM(C138:F138)</f>
        <v>26714090.280000001</v>
      </c>
      <c r="H138" s="43"/>
      <c r="I138" s="44"/>
      <c r="J138" s="44"/>
      <c r="K138" s="44"/>
      <c r="L138" s="28">
        <v>0</v>
      </c>
      <c r="M138" s="28">
        <v>0</v>
      </c>
      <c r="N138" s="28">
        <v>0</v>
      </c>
      <c r="O138" s="28">
        <v>0</v>
      </c>
      <c r="P138" s="45">
        <f t="shared" si="164"/>
        <v>0</v>
      </c>
      <c r="Q138" s="403">
        <v>157680.15</v>
      </c>
      <c r="R138" s="46">
        <f t="shared" ref="R138:R145" si="168">+C138+L138</f>
        <v>17049300.609999999</v>
      </c>
      <c r="S138" s="46">
        <f t="shared" si="165"/>
        <v>828932.61</v>
      </c>
      <c r="T138" s="46">
        <f t="shared" ref="T138:T145" si="169">+E138+N138+Q138</f>
        <v>157680.15</v>
      </c>
      <c r="U138" s="46">
        <f t="shared" ref="U138:U145" si="170">+F138</f>
        <v>8835857.0600000005</v>
      </c>
      <c r="V138" s="45">
        <f t="shared" ref="V138:V145" si="171">SUM(R138:U138)</f>
        <v>26871770.43</v>
      </c>
      <c r="W138" s="47">
        <f t="shared" si="166"/>
        <v>25605737.88598052</v>
      </c>
      <c r="X138" s="47">
        <f t="shared" si="166"/>
        <v>471189.38294032705</v>
      </c>
      <c r="Y138" s="47">
        <v>0</v>
      </c>
      <c r="Z138" s="47">
        <f t="shared" ref="Z138:Z144" si="172">+F466*U138/U257</f>
        <v>5583388.4029591652</v>
      </c>
      <c r="AA138" s="45">
        <f t="shared" ref="AA138:AA145" si="173">SUM(W138:Z138)</f>
        <v>31660315.671880011</v>
      </c>
      <c r="AB138" s="46">
        <f t="shared" ref="AB138:AB145" si="174">+R138+W138</f>
        <v>42655038.495980516</v>
      </c>
      <c r="AC138" s="46">
        <f t="shared" si="167"/>
        <v>1300121.9929403272</v>
      </c>
      <c r="AD138" s="46">
        <f t="shared" si="167"/>
        <v>157680.15</v>
      </c>
      <c r="AE138" s="46">
        <f t="shared" si="167"/>
        <v>14419245.462959167</v>
      </c>
      <c r="AF138" s="28">
        <f t="shared" ref="AF138:AF145" si="175">SUM(AB138:AE138)</f>
        <v>58532086.101880014</v>
      </c>
    </row>
    <row r="139" spans="1:32" ht="23.25">
      <c r="B139" s="42" t="s">
        <v>211</v>
      </c>
      <c r="C139" s="6">
        <v>143891.25</v>
      </c>
      <c r="D139" s="375">
        <v>0</v>
      </c>
      <c r="E139" s="375">
        <v>0</v>
      </c>
      <c r="F139" s="375">
        <v>67968.13</v>
      </c>
      <c r="G139" s="374">
        <f t="shared" si="163"/>
        <v>211859.38</v>
      </c>
      <c r="H139" s="43"/>
      <c r="I139" s="44"/>
      <c r="J139" s="44"/>
      <c r="K139" s="44"/>
      <c r="L139" s="28">
        <v>0</v>
      </c>
      <c r="M139" s="28">
        <v>0</v>
      </c>
      <c r="N139" s="28">
        <v>0</v>
      </c>
      <c r="O139" s="28">
        <v>0</v>
      </c>
      <c r="P139" s="45">
        <f t="shared" si="164"/>
        <v>0</v>
      </c>
      <c r="Q139" s="403"/>
      <c r="R139" s="46">
        <f t="shared" si="168"/>
        <v>143891.25</v>
      </c>
      <c r="S139" s="46">
        <f t="shared" si="165"/>
        <v>0</v>
      </c>
      <c r="T139" s="46">
        <f t="shared" si="169"/>
        <v>0</v>
      </c>
      <c r="U139" s="46">
        <f t="shared" si="170"/>
        <v>67968.13</v>
      </c>
      <c r="V139" s="45">
        <f t="shared" si="171"/>
        <v>211859.38</v>
      </c>
      <c r="W139" s="47">
        <f t="shared" si="166"/>
        <v>18623.193952598278</v>
      </c>
      <c r="X139" s="47">
        <f t="shared" si="166"/>
        <v>0</v>
      </c>
      <c r="Y139" s="47">
        <v>0</v>
      </c>
      <c r="Z139" s="47">
        <f t="shared" si="172"/>
        <v>0</v>
      </c>
      <c r="AA139" s="45">
        <f t="shared" si="173"/>
        <v>18623.193952598278</v>
      </c>
      <c r="AB139" s="46">
        <f t="shared" si="174"/>
        <v>162514.44395259829</v>
      </c>
      <c r="AC139" s="46">
        <f t="shared" si="167"/>
        <v>0</v>
      </c>
      <c r="AD139" s="46">
        <f t="shared" si="167"/>
        <v>0</v>
      </c>
      <c r="AE139" s="46">
        <f t="shared" si="167"/>
        <v>67968.13</v>
      </c>
      <c r="AF139" s="28">
        <f t="shared" si="175"/>
        <v>230482.57395259829</v>
      </c>
    </row>
    <row r="140" spans="1:32">
      <c r="B140" s="42" t="s">
        <v>212</v>
      </c>
      <c r="C140" s="6">
        <v>177900</v>
      </c>
      <c r="D140" s="6">
        <v>37000</v>
      </c>
      <c r="E140" s="373">
        <v>0</v>
      </c>
      <c r="F140" s="6">
        <v>126226.53</v>
      </c>
      <c r="G140" s="374">
        <f t="shared" si="163"/>
        <v>341126.53</v>
      </c>
      <c r="H140" s="43"/>
      <c r="I140" s="44"/>
      <c r="J140" s="44"/>
      <c r="K140" s="44"/>
      <c r="L140" s="28">
        <v>0</v>
      </c>
      <c r="M140" s="28">
        <v>0</v>
      </c>
      <c r="N140" s="28">
        <v>0</v>
      </c>
      <c r="O140" s="28">
        <v>0</v>
      </c>
      <c r="P140" s="45">
        <f t="shared" si="164"/>
        <v>0</v>
      </c>
      <c r="Q140" s="403"/>
      <c r="R140" s="46">
        <f t="shared" si="168"/>
        <v>177900</v>
      </c>
      <c r="S140" s="46">
        <f t="shared" si="165"/>
        <v>37000</v>
      </c>
      <c r="T140" s="46">
        <f t="shared" si="169"/>
        <v>0</v>
      </c>
      <c r="U140" s="46">
        <f t="shared" si="170"/>
        <v>126226.53</v>
      </c>
      <c r="V140" s="45">
        <f t="shared" si="171"/>
        <v>341126.53</v>
      </c>
      <c r="W140" s="47">
        <f t="shared" si="166"/>
        <v>128965.74681959127</v>
      </c>
      <c r="X140" s="47">
        <f t="shared" si="166"/>
        <v>5805.3105477015943</v>
      </c>
      <c r="Y140" s="47">
        <v>0</v>
      </c>
      <c r="Z140" s="47">
        <f t="shared" si="172"/>
        <v>26827.270524622003</v>
      </c>
      <c r="AA140" s="45">
        <f t="shared" si="173"/>
        <v>161598.32789191487</v>
      </c>
      <c r="AB140" s="46">
        <f t="shared" si="174"/>
        <v>306865.74681959127</v>
      </c>
      <c r="AC140" s="46">
        <f t="shared" si="167"/>
        <v>42805.310547701592</v>
      </c>
      <c r="AD140" s="46">
        <f t="shared" si="167"/>
        <v>0</v>
      </c>
      <c r="AE140" s="46">
        <f t="shared" si="167"/>
        <v>153053.800524622</v>
      </c>
      <c r="AF140" s="28">
        <f t="shared" si="175"/>
        <v>502724.8578919149</v>
      </c>
    </row>
    <row r="141" spans="1:32">
      <c r="B141" s="42" t="s">
        <v>213</v>
      </c>
      <c r="C141" s="6">
        <v>1396400</v>
      </c>
      <c r="D141" s="6">
        <v>0</v>
      </c>
      <c r="E141" s="373">
        <v>0</v>
      </c>
      <c r="F141" s="6">
        <v>679681.31</v>
      </c>
      <c r="G141" s="374">
        <f t="shared" si="163"/>
        <v>2076081.31</v>
      </c>
      <c r="H141" s="43"/>
      <c r="I141" s="44"/>
      <c r="J141" s="44"/>
      <c r="K141" s="44"/>
      <c r="L141" s="28">
        <v>0</v>
      </c>
      <c r="M141" s="28">
        <v>0</v>
      </c>
      <c r="N141" s="28">
        <v>0</v>
      </c>
      <c r="O141" s="28">
        <v>0</v>
      </c>
      <c r="P141" s="45">
        <f t="shared" si="164"/>
        <v>0</v>
      </c>
      <c r="Q141" s="403"/>
      <c r="R141" s="46">
        <f t="shared" si="168"/>
        <v>1396400</v>
      </c>
      <c r="S141" s="46">
        <f t="shared" si="165"/>
        <v>0</v>
      </c>
      <c r="T141" s="46">
        <f t="shared" si="169"/>
        <v>0</v>
      </c>
      <c r="U141" s="46">
        <f t="shared" si="170"/>
        <v>679681.31</v>
      </c>
      <c r="V141" s="45">
        <f t="shared" si="171"/>
        <v>2076081.31</v>
      </c>
      <c r="W141" s="47">
        <f t="shared" si="166"/>
        <v>0</v>
      </c>
      <c r="X141" s="47">
        <f t="shared" si="166"/>
        <v>0</v>
      </c>
      <c r="Y141" s="47">
        <v>0</v>
      </c>
      <c r="Z141" s="47">
        <f t="shared" si="172"/>
        <v>0</v>
      </c>
      <c r="AA141" s="45">
        <f t="shared" si="173"/>
        <v>0</v>
      </c>
      <c r="AB141" s="46">
        <f t="shared" si="174"/>
        <v>1396400</v>
      </c>
      <c r="AC141" s="46">
        <f t="shared" si="167"/>
        <v>0</v>
      </c>
      <c r="AD141" s="46">
        <f t="shared" si="167"/>
        <v>0</v>
      </c>
      <c r="AE141" s="46">
        <f t="shared" si="167"/>
        <v>679681.31</v>
      </c>
      <c r="AF141" s="28">
        <f t="shared" si="175"/>
        <v>2076081.31</v>
      </c>
    </row>
    <row r="142" spans="1:32">
      <c r="B142" s="42" t="s">
        <v>214</v>
      </c>
      <c r="C142" s="6">
        <v>0</v>
      </c>
      <c r="D142" s="6">
        <v>0</v>
      </c>
      <c r="E142" s="373">
        <v>0</v>
      </c>
      <c r="F142" s="6">
        <v>0</v>
      </c>
      <c r="G142" s="374">
        <f t="shared" si="163"/>
        <v>0</v>
      </c>
      <c r="H142" s="43"/>
      <c r="I142" s="44"/>
      <c r="J142" s="44"/>
      <c r="K142" s="44"/>
      <c r="L142" s="28">
        <v>0</v>
      </c>
      <c r="M142" s="28">
        <v>0</v>
      </c>
      <c r="N142" s="28">
        <v>0</v>
      </c>
      <c r="O142" s="28">
        <v>0</v>
      </c>
      <c r="P142" s="45">
        <f t="shared" si="164"/>
        <v>0</v>
      </c>
      <c r="Q142" s="403"/>
      <c r="R142" s="46">
        <f t="shared" si="168"/>
        <v>0</v>
      </c>
      <c r="S142" s="46">
        <f t="shared" si="165"/>
        <v>0</v>
      </c>
      <c r="T142" s="46">
        <f t="shared" si="169"/>
        <v>0</v>
      </c>
      <c r="U142" s="46">
        <f t="shared" si="170"/>
        <v>0</v>
      </c>
      <c r="V142" s="45">
        <f t="shared" si="171"/>
        <v>0</v>
      </c>
      <c r="W142" s="47">
        <f t="shared" si="166"/>
        <v>0</v>
      </c>
      <c r="X142" s="47">
        <f t="shared" si="166"/>
        <v>0</v>
      </c>
      <c r="Y142" s="47">
        <v>0</v>
      </c>
      <c r="Z142" s="47">
        <f t="shared" si="172"/>
        <v>0</v>
      </c>
      <c r="AA142" s="45">
        <f t="shared" si="173"/>
        <v>0</v>
      </c>
      <c r="AB142" s="46">
        <f t="shared" si="174"/>
        <v>0</v>
      </c>
      <c r="AC142" s="46">
        <f t="shared" si="167"/>
        <v>0</v>
      </c>
      <c r="AD142" s="46">
        <f t="shared" si="167"/>
        <v>0</v>
      </c>
      <c r="AE142" s="46">
        <f t="shared" si="167"/>
        <v>0</v>
      </c>
      <c r="AF142" s="28">
        <f t="shared" si="175"/>
        <v>0</v>
      </c>
    </row>
    <row r="143" spans="1:32">
      <c r="B143" s="50" t="s">
        <v>437</v>
      </c>
      <c r="C143" s="28">
        <v>0</v>
      </c>
      <c r="D143" s="28">
        <v>0</v>
      </c>
      <c r="E143" s="40">
        <v>0</v>
      </c>
      <c r="F143" s="28">
        <v>0</v>
      </c>
      <c r="G143" s="374">
        <f t="shared" si="163"/>
        <v>0</v>
      </c>
      <c r="H143" s="43"/>
      <c r="I143" s="44"/>
      <c r="J143" s="44"/>
      <c r="K143" s="44"/>
      <c r="L143" s="28">
        <v>0</v>
      </c>
      <c r="M143" s="28">
        <v>0</v>
      </c>
      <c r="N143" s="28">
        <v>0</v>
      </c>
      <c r="O143" s="28">
        <v>0</v>
      </c>
      <c r="P143" s="45">
        <f t="shared" si="164"/>
        <v>0</v>
      </c>
      <c r="Q143" s="403"/>
      <c r="R143" s="46">
        <f t="shared" si="168"/>
        <v>0</v>
      </c>
      <c r="S143" s="46">
        <f t="shared" si="165"/>
        <v>0</v>
      </c>
      <c r="T143" s="46">
        <f t="shared" si="169"/>
        <v>0</v>
      </c>
      <c r="U143" s="46">
        <f t="shared" si="170"/>
        <v>0</v>
      </c>
      <c r="V143" s="45">
        <f t="shared" si="171"/>
        <v>0</v>
      </c>
      <c r="W143" s="47">
        <f>+C471*R143/R262</f>
        <v>0</v>
      </c>
      <c r="X143" s="47">
        <v>0</v>
      </c>
      <c r="Y143" s="47">
        <v>0</v>
      </c>
      <c r="Z143" s="47">
        <v>0</v>
      </c>
      <c r="AA143" s="45">
        <f t="shared" si="173"/>
        <v>0</v>
      </c>
      <c r="AB143" s="46">
        <f t="shared" si="174"/>
        <v>0</v>
      </c>
      <c r="AC143" s="46">
        <f t="shared" si="167"/>
        <v>0</v>
      </c>
      <c r="AD143" s="46">
        <f t="shared" si="167"/>
        <v>0</v>
      </c>
      <c r="AE143" s="46">
        <f t="shared" si="167"/>
        <v>0</v>
      </c>
      <c r="AF143" s="28">
        <f t="shared" si="175"/>
        <v>0</v>
      </c>
    </row>
    <row r="144" spans="1:32">
      <c r="B144" s="50" t="s">
        <v>219</v>
      </c>
      <c r="C144" s="28">
        <v>0</v>
      </c>
      <c r="D144" s="28">
        <v>0</v>
      </c>
      <c r="E144" s="40">
        <v>0</v>
      </c>
      <c r="F144" s="28">
        <v>0</v>
      </c>
      <c r="G144" s="374">
        <f t="shared" si="163"/>
        <v>0</v>
      </c>
      <c r="H144" s="43"/>
      <c r="I144" s="44"/>
      <c r="J144" s="44"/>
      <c r="K144" s="44"/>
      <c r="L144" s="28">
        <v>0</v>
      </c>
      <c r="M144" s="28">
        <v>0</v>
      </c>
      <c r="N144" s="28">
        <v>0</v>
      </c>
      <c r="O144" s="28">
        <v>0</v>
      </c>
      <c r="P144" s="45">
        <f t="shared" si="164"/>
        <v>0</v>
      </c>
      <c r="Q144" s="403"/>
      <c r="R144" s="46">
        <f t="shared" si="168"/>
        <v>0</v>
      </c>
      <c r="S144" s="46">
        <f t="shared" si="165"/>
        <v>0</v>
      </c>
      <c r="T144" s="46">
        <f t="shared" si="169"/>
        <v>0</v>
      </c>
      <c r="U144" s="46">
        <f t="shared" si="170"/>
        <v>0</v>
      </c>
      <c r="V144" s="45">
        <f t="shared" si="171"/>
        <v>0</v>
      </c>
      <c r="W144" s="47">
        <f>+C472*R144/R263</f>
        <v>0</v>
      </c>
      <c r="X144" s="47">
        <v>0</v>
      </c>
      <c r="Y144" s="47">
        <v>0</v>
      </c>
      <c r="Z144" s="47">
        <f t="shared" si="172"/>
        <v>0</v>
      </c>
      <c r="AA144" s="45">
        <f t="shared" si="173"/>
        <v>0</v>
      </c>
      <c r="AB144" s="46">
        <f t="shared" si="174"/>
        <v>0</v>
      </c>
      <c r="AC144" s="46">
        <f t="shared" si="167"/>
        <v>0</v>
      </c>
      <c r="AD144" s="46">
        <f t="shared" si="167"/>
        <v>0</v>
      </c>
      <c r="AE144" s="46">
        <f t="shared" si="167"/>
        <v>0</v>
      </c>
      <c r="AF144" s="28">
        <f t="shared" si="175"/>
        <v>0</v>
      </c>
    </row>
    <row r="145" spans="1:32">
      <c r="B145" s="42" t="s">
        <v>216</v>
      </c>
      <c r="C145" s="28">
        <v>0</v>
      </c>
      <c r="D145" s="28">
        <v>0</v>
      </c>
      <c r="E145" s="40">
        <v>0</v>
      </c>
      <c r="F145" s="28">
        <v>0</v>
      </c>
      <c r="G145" s="374">
        <f t="shared" si="163"/>
        <v>0</v>
      </c>
      <c r="H145" s="43"/>
      <c r="I145" s="44"/>
      <c r="J145" s="44"/>
      <c r="K145" s="44"/>
      <c r="L145" s="28">
        <v>0</v>
      </c>
      <c r="M145" s="28">
        <v>0</v>
      </c>
      <c r="N145" s="28">
        <v>0</v>
      </c>
      <c r="O145" s="28">
        <v>0</v>
      </c>
      <c r="P145" s="45">
        <f t="shared" si="164"/>
        <v>0</v>
      </c>
      <c r="Q145" s="403"/>
      <c r="R145" s="46">
        <f t="shared" si="168"/>
        <v>0</v>
      </c>
      <c r="S145" s="46">
        <f t="shared" si="165"/>
        <v>0</v>
      </c>
      <c r="T145" s="46">
        <f t="shared" si="169"/>
        <v>0</v>
      </c>
      <c r="U145" s="46">
        <f t="shared" si="170"/>
        <v>0</v>
      </c>
      <c r="V145" s="45">
        <f t="shared" si="171"/>
        <v>0</v>
      </c>
      <c r="W145" s="47">
        <v>0</v>
      </c>
      <c r="X145" s="47">
        <v>0</v>
      </c>
      <c r="Y145" s="47">
        <v>0</v>
      </c>
      <c r="Z145" s="47">
        <v>0</v>
      </c>
      <c r="AA145" s="45">
        <f t="shared" si="173"/>
        <v>0</v>
      </c>
      <c r="AB145" s="46">
        <f t="shared" si="174"/>
        <v>0</v>
      </c>
      <c r="AC145" s="46">
        <f t="shared" si="167"/>
        <v>0</v>
      </c>
      <c r="AD145" s="46">
        <f t="shared" si="167"/>
        <v>0</v>
      </c>
      <c r="AE145" s="46">
        <f t="shared" si="167"/>
        <v>0</v>
      </c>
      <c r="AF145" s="28">
        <f t="shared" si="175"/>
        <v>0</v>
      </c>
    </row>
    <row r="146" spans="1:32">
      <c r="B146" s="42"/>
      <c r="C146" s="28">
        <f>SUM(C137:C145)</f>
        <v>18767491.859999999</v>
      </c>
      <c r="D146" s="28">
        <f>SUM(D137:D145)</f>
        <v>865932.61</v>
      </c>
      <c r="E146" s="40">
        <f>SUM(E137:E145)</f>
        <v>0</v>
      </c>
      <c r="F146" s="28">
        <f>SUM(F137:F145)</f>
        <v>9709733.0300000012</v>
      </c>
      <c r="G146" s="28">
        <f>SUM(G137:G145)</f>
        <v>29343157.5</v>
      </c>
      <c r="H146" s="43"/>
      <c r="I146" s="44"/>
      <c r="J146" s="44"/>
      <c r="K146" s="44"/>
      <c r="L146" s="28">
        <f>SUM(L137:L145)</f>
        <v>0</v>
      </c>
      <c r="M146" s="28">
        <f>SUM(M137:M145)</f>
        <v>0</v>
      </c>
      <c r="N146" s="28">
        <f>SUM(N137:N145)</f>
        <v>0</v>
      </c>
      <c r="O146" s="28">
        <f>SUM(O137:O145)</f>
        <v>0</v>
      </c>
      <c r="P146" s="45">
        <f t="shared" si="164"/>
        <v>0</v>
      </c>
      <c r="Q146" s="403">
        <f>SUM(Q137:Q145)</f>
        <v>157680.15</v>
      </c>
      <c r="R146" s="46">
        <f t="shared" ref="R146:Y146" si="176">SUM(R137:R145)</f>
        <v>18767491.859999999</v>
      </c>
      <c r="S146" s="46">
        <f t="shared" si="176"/>
        <v>865932.61</v>
      </c>
      <c r="T146" s="46">
        <f t="shared" si="176"/>
        <v>157680.15</v>
      </c>
      <c r="U146" s="46">
        <f t="shared" si="176"/>
        <v>9709733.0300000012</v>
      </c>
      <c r="V146" s="51">
        <f t="shared" si="176"/>
        <v>29500837.649999999</v>
      </c>
      <c r="W146" s="46">
        <f t="shared" si="176"/>
        <v>25753326.826752711</v>
      </c>
      <c r="X146" s="28">
        <f t="shared" si="176"/>
        <v>476994.69348802866</v>
      </c>
      <c r="Y146" s="28">
        <f t="shared" si="176"/>
        <v>0</v>
      </c>
      <c r="Z146" s="28">
        <f>SUM(Z137:Z145)</f>
        <v>5610215.6734837871</v>
      </c>
      <c r="AA146" s="45">
        <f>SUM(W146:Z146)</f>
        <v>31840537.193724528</v>
      </c>
      <c r="AB146" s="46">
        <f>SUM(AB137:AB145)</f>
        <v>44520818.686752707</v>
      </c>
      <c r="AC146" s="46">
        <f t="shared" ref="AC146:AF146" si="177">SUM(AC137:AC145)</f>
        <v>1342927.3034880287</v>
      </c>
      <c r="AD146" s="46">
        <f t="shared" si="177"/>
        <v>157680.15</v>
      </c>
      <c r="AE146" s="46">
        <f t="shared" si="177"/>
        <v>15319948.70348379</v>
      </c>
      <c r="AF146" s="46">
        <f t="shared" si="177"/>
        <v>61341374.843724534</v>
      </c>
    </row>
    <row r="147" spans="1:32">
      <c r="B147" s="52"/>
      <c r="C147" s="33">
        <f>27658395.86-8890904</f>
        <v>18767491.859999999</v>
      </c>
      <c r="D147" s="33">
        <f>1684761.54-818828.93</f>
        <v>865932.61</v>
      </c>
      <c r="E147" s="53">
        <v>0</v>
      </c>
      <c r="F147" s="33">
        <f>8890904.1+818828.93</f>
        <v>9709733.0299999993</v>
      </c>
      <c r="G147" s="29">
        <f>SUM(C147:F147)</f>
        <v>29343157.5</v>
      </c>
      <c r="R147" s="27"/>
      <c r="S147" s="27"/>
      <c r="T147" s="27"/>
      <c r="U147" s="27"/>
      <c r="V147" s="29"/>
    </row>
    <row r="148" spans="1:32">
      <c r="B148" s="58"/>
      <c r="C148" s="27"/>
      <c r="D148" s="27"/>
      <c r="E148" s="59"/>
      <c r="F148" s="27">
        <f>+F146-F147</f>
        <v>0</v>
      </c>
      <c r="G148" s="27">
        <f>+G146-G147</f>
        <v>0</v>
      </c>
      <c r="R148" s="27"/>
      <c r="S148" s="27"/>
      <c r="T148" s="27"/>
      <c r="U148" s="27"/>
      <c r="V148" s="29"/>
    </row>
    <row r="149" spans="1:32">
      <c r="A149" s="389" t="s">
        <v>204</v>
      </c>
      <c r="B149" s="636" t="s">
        <v>227</v>
      </c>
      <c r="C149" s="636"/>
      <c r="D149" s="636"/>
      <c r="E149" s="636"/>
      <c r="F149" s="636"/>
      <c r="G149" s="636"/>
      <c r="R149" s="27"/>
      <c r="S149" s="27"/>
      <c r="T149" s="27"/>
      <c r="U149" s="27"/>
      <c r="V149" s="29"/>
    </row>
    <row r="150" spans="1:32">
      <c r="B150" s="55" t="s">
        <v>9</v>
      </c>
      <c r="C150" s="40" t="s">
        <v>206</v>
      </c>
      <c r="D150" s="40" t="s">
        <v>207</v>
      </c>
      <c r="E150" s="40" t="s">
        <v>10</v>
      </c>
      <c r="F150" s="40" t="s">
        <v>11</v>
      </c>
      <c r="G150" s="48" t="s">
        <v>208</v>
      </c>
      <c r="H150" s="43"/>
      <c r="I150" s="44"/>
      <c r="J150" s="44"/>
      <c r="K150" s="44"/>
      <c r="L150" s="28"/>
      <c r="M150" s="28"/>
      <c r="N150" s="28"/>
      <c r="O150" s="28"/>
      <c r="P150" s="45"/>
      <c r="Q150" s="403"/>
      <c r="R150" s="46"/>
      <c r="S150" s="28"/>
      <c r="T150" s="28"/>
      <c r="U150" s="28"/>
      <c r="V150" s="45"/>
      <c r="W150" s="56"/>
      <c r="X150" s="44"/>
      <c r="Y150" s="44"/>
      <c r="Z150" s="44"/>
      <c r="AA150" s="57"/>
      <c r="AB150" s="56"/>
      <c r="AC150" s="44"/>
      <c r="AD150" s="44"/>
      <c r="AE150" s="44"/>
      <c r="AF150" s="44"/>
    </row>
    <row r="151" spans="1:32">
      <c r="B151" s="42" t="s">
        <v>209</v>
      </c>
      <c r="C151" s="6">
        <v>0</v>
      </c>
      <c r="D151" s="6">
        <v>0</v>
      </c>
      <c r="E151" s="373">
        <v>0</v>
      </c>
      <c r="F151" s="6">
        <v>0</v>
      </c>
      <c r="G151" s="374">
        <f>SUM(C151:F151)</f>
        <v>0</v>
      </c>
      <c r="H151" s="43"/>
      <c r="I151" s="44"/>
      <c r="J151" s="44"/>
      <c r="K151" s="44"/>
      <c r="L151" s="28">
        <v>0</v>
      </c>
      <c r="M151" s="28">
        <v>0</v>
      </c>
      <c r="N151" s="28">
        <v>0</v>
      </c>
      <c r="O151" s="28">
        <v>0</v>
      </c>
      <c r="P151" s="45">
        <f t="shared" ref="P151:P160" si="178">SUM(L151:O151)</f>
        <v>0</v>
      </c>
      <c r="Q151" s="403"/>
      <c r="R151" s="46">
        <f>+C151+L151</f>
        <v>0</v>
      </c>
      <c r="S151" s="46">
        <f t="shared" ref="S151:S159" si="179">+D151+M151</f>
        <v>0</v>
      </c>
      <c r="T151" s="46">
        <f>+E151+N151+Q151</f>
        <v>0</v>
      </c>
      <c r="U151" s="46">
        <f>+K151</f>
        <v>0</v>
      </c>
      <c r="V151" s="45">
        <f>SUM(R151:U151)</f>
        <v>0</v>
      </c>
      <c r="W151" s="47">
        <f t="shared" ref="W151:X156" si="180">+C465*R151/R256</f>
        <v>0</v>
      </c>
      <c r="X151" s="47">
        <f t="shared" si="180"/>
        <v>0</v>
      </c>
      <c r="Y151" s="47">
        <v>0</v>
      </c>
      <c r="Z151" s="47">
        <f>+F465*U151/U256</f>
        <v>0</v>
      </c>
      <c r="AA151" s="45">
        <f>SUM(W151:Z151)</f>
        <v>0</v>
      </c>
      <c r="AB151" s="46">
        <f>+R151+W151</f>
        <v>0</v>
      </c>
      <c r="AC151" s="46">
        <f t="shared" ref="AC151:AE159" si="181">+S151+X151</f>
        <v>0</v>
      </c>
      <c r="AD151" s="46">
        <f t="shared" si="181"/>
        <v>0</v>
      </c>
      <c r="AE151" s="46">
        <f t="shared" si="181"/>
        <v>0</v>
      </c>
      <c r="AF151" s="28">
        <f>SUM(AB151:AE151)</f>
        <v>0</v>
      </c>
    </row>
    <row r="152" spans="1:32">
      <c r="B152" s="42" t="s">
        <v>210</v>
      </c>
      <c r="C152" s="6">
        <v>3819985.43</v>
      </c>
      <c r="D152" s="6">
        <v>5899799.0199999996</v>
      </c>
      <c r="E152" s="373">
        <v>0</v>
      </c>
      <c r="F152" s="6">
        <v>3899136.36</v>
      </c>
      <c r="G152" s="374">
        <f t="shared" ref="G152:G159" si="182">SUM(C152:F152)</f>
        <v>13618920.809999999</v>
      </c>
      <c r="H152" s="43">
        <f>+F160</f>
        <v>3899136.36</v>
      </c>
      <c r="I152" s="28">
        <f>+C152+D152</f>
        <v>9719784.4499999993</v>
      </c>
      <c r="J152" s="28">
        <f>+I152*100/I160</f>
        <v>50.850670140765224</v>
      </c>
      <c r="K152" s="28">
        <f>+H152*J152/100</f>
        <v>1982736.9687622401</v>
      </c>
      <c r="L152" s="28">
        <v>0</v>
      </c>
      <c r="M152" s="28">
        <v>0</v>
      </c>
      <c r="N152" s="28">
        <v>0</v>
      </c>
      <c r="O152" s="28">
        <v>0</v>
      </c>
      <c r="P152" s="45">
        <f t="shared" si="178"/>
        <v>0</v>
      </c>
      <c r="Q152" s="403">
        <v>497612.61</v>
      </c>
      <c r="R152" s="46">
        <f t="shared" ref="R152:R159" si="183">+C152+L152</f>
        <v>3819985.43</v>
      </c>
      <c r="S152" s="46">
        <f t="shared" si="179"/>
        <v>5899799.0199999996</v>
      </c>
      <c r="T152" s="46">
        <f t="shared" ref="T152:T159" si="184">+E152+N152+Q152</f>
        <v>497612.61</v>
      </c>
      <c r="U152" s="46">
        <f t="shared" ref="U152:U159" si="185">+K152</f>
        <v>1982736.9687622401</v>
      </c>
      <c r="V152" s="45">
        <f t="shared" ref="V152:V159" si="186">SUM(R152:U152)</f>
        <v>12200134.028762238</v>
      </c>
      <c r="W152" s="47">
        <f t="shared" si="180"/>
        <v>5737100.1829525838</v>
      </c>
      <c r="X152" s="47">
        <f t="shared" si="180"/>
        <v>3353617.201410071</v>
      </c>
      <c r="Y152" s="47">
        <v>0</v>
      </c>
      <c r="Z152" s="47">
        <f t="shared" ref="Z152:Z158" si="187">+F466*U152/U257</f>
        <v>1252893.807848166</v>
      </c>
      <c r="AA152" s="45">
        <f t="shared" ref="AA152:AA159" si="188">SUM(W152:Z152)</f>
        <v>10343611.192210821</v>
      </c>
      <c r="AB152" s="46">
        <f t="shared" ref="AB152:AB159" si="189">+R152+W152</f>
        <v>9557085.6129525844</v>
      </c>
      <c r="AC152" s="46">
        <f t="shared" si="181"/>
        <v>9253416.2214100696</v>
      </c>
      <c r="AD152" s="46">
        <f t="shared" si="181"/>
        <v>497612.61</v>
      </c>
      <c r="AE152" s="46">
        <f t="shared" si="181"/>
        <v>3235630.7766104061</v>
      </c>
      <c r="AF152" s="28">
        <f t="shared" ref="AF152:AF159" si="190">SUM(AB152:AE152)</f>
        <v>22543745.22097306</v>
      </c>
    </row>
    <row r="153" spans="1:32" ht="23.25">
      <c r="B153" s="42" t="s">
        <v>211</v>
      </c>
      <c r="C153" s="6">
        <v>132300</v>
      </c>
      <c r="D153" s="373">
        <v>0</v>
      </c>
      <c r="E153" s="375">
        <v>0</v>
      </c>
      <c r="F153" s="373">
        <v>0</v>
      </c>
      <c r="G153" s="374">
        <f t="shared" si="182"/>
        <v>132300</v>
      </c>
      <c r="H153" s="43"/>
      <c r="I153" s="28">
        <f t="shared" ref="I153:I159" si="191">+C153+D153</f>
        <v>132300</v>
      </c>
      <c r="J153" s="28">
        <f>+I153*100/I160</f>
        <v>0.69214947041580133</v>
      </c>
      <c r="K153" s="28">
        <f>+H152*J153/100</f>
        <v>26987.85166652995</v>
      </c>
      <c r="L153" s="28">
        <v>0</v>
      </c>
      <c r="M153" s="28">
        <v>0</v>
      </c>
      <c r="N153" s="28">
        <v>0</v>
      </c>
      <c r="O153" s="28">
        <v>0</v>
      </c>
      <c r="P153" s="45">
        <f t="shared" si="178"/>
        <v>0</v>
      </c>
      <c r="Q153" s="403"/>
      <c r="R153" s="46">
        <f t="shared" si="183"/>
        <v>132300</v>
      </c>
      <c r="S153" s="46">
        <f t="shared" si="179"/>
        <v>0</v>
      </c>
      <c r="T153" s="46">
        <f t="shared" si="184"/>
        <v>0</v>
      </c>
      <c r="U153" s="46">
        <f t="shared" si="185"/>
        <v>26987.85166652995</v>
      </c>
      <c r="V153" s="45">
        <f t="shared" si="186"/>
        <v>159287.85166652995</v>
      </c>
      <c r="W153" s="47">
        <f t="shared" si="180"/>
        <v>17122.990869345791</v>
      </c>
      <c r="X153" s="47">
        <f t="shared" si="180"/>
        <v>0</v>
      </c>
      <c r="Y153" s="47">
        <v>0</v>
      </c>
      <c r="Z153" s="47">
        <f t="shared" si="187"/>
        <v>0</v>
      </c>
      <c r="AA153" s="45">
        <f t="shared" si="188"/>
        <v>17122.990869345791</v>
      </c>
      <c r="AB153" s="46">
        <f t="shared" si="189"/>
        <v>149422.99086934578</v>
      </c>
      <c r="AC153" s="46">
        <f t="shared" si="181"/>
        <v>0</v>
      </c>
      <c r="AD153" s="46">
        <f t="shared" si="181"/>
        <v>0</v>
      </c>
      <c r="AE153" s="46">
        <f t="shared" si="181"/>
        <v>26987.85166652995</v>
      </c>
      <c r="AF153" s="28">
        <f t="shared" si="190"/>
        <v>176410.84253587574</v>
      </c>
    </row>
    <row r="154" spans="1:32">
      <c r="B154" s="42" t="s">
        <v>212</v>
      </c>
      <c r="C154" s="6">
        <v>211580</v>
      </c>
      <c r="D154" s="6">
        <v>256904</v>
      </c>
      <c r="E154" s="373">
        <v>0</v>
      </c>
      <c r="F154" s="6">
        <v>0</v>
      </c>
      <c r="G154" s="374">
        <f t="shared" si="182"/>
        <v>468484</v>
      </c>
      <c r="H154" s="43"/>
      <c r="I154" s="28">
        <f t="shared" si="191"/>
        <v>468484</v>
      </c>
      <c r="J154" s="28">
        <f>+I154*100/I160</f>
        <v>2.4509520219068501</v>
      </c>
      <c r="K154" s="28">
        <f>+H152*J154/100</f>
        <v>95565.961452325151</v>
      </c>
      <c r="L154" s="28">
        <v>0</v>
      </c>
      <c r="M154" s="28">
        <v>0</v>
      </c>
      <c r="N154" s="28">
        <v>0</v>
      </c>
      <c r="O154" s="28">
        <v>0</v>
      </c>
      <c r="P154" s="45">
        <f t="shared" si="178"/>
        <v>0</v>
      </c>
      <c r="Q154" s="403"/>
      <c r="R154" s="46">
        <f t="shared" si="183"/>
        <v>211580</v>
      </c>
      <c r="S154" s="46">
        <f t="shared" si="179"/>
        <v>256904</v>
      </c>
      <c r="T154" s="46">
        <f t="shared" si="184"/>
        <v>0</v>
      </c>
      <c r="U154" s="46">
        <f t="shared" si="185"/>
        <v>95565.961452325151</v>
      </c>
      <c r="V154" s="45">
        <f t="shared" si="186"/>
        <v>564049.96145232511</v>
      </c>
      <c r="W154" s="47">
        <f t="shared" si="180"/>
        <v>153381.52170932613</v>
      </c>
      <c r="X154" s="47">
        <f t="shared" si="180"/>
        <v>40308.310836398115</v>
      </c>
      <c r="Y154" s="47">
        <v>0</v>
      </c>
      <c r="Z154" s="47">
        <f t="shared" si="187"/>
        <v>20310.89582219463</v>
      </c>
      <c r="AA154" s="45">
        <f t="shared" si="188"/>
        <v>214000.72836791887</v>
      </c>
      <c r="AB154" s="46">
        <f t="shared" si="189"/>
        <v>364961.52170932613</v>
      </c>
      <c r="AC154" s="46">
        <f t="shared" si="181"/>
        <v>297212.3108363981</v>
      </c>
      <c r="AD154" s="46">
        <f t="shared" si="181"/>
        <v>0</v>
      </c>
      <c r="AE154" s="46">
        <f t="shared" si="181"/>
        <v>115876.85727451977</v>
      </c>
      <c r="AF154" s="28">
        <f t="shared" si="190"/>
        <v>778050.68982024398</v>
      </c>
    </row>
    <row r="155" spans="1:32">
      <c r="B155" s="42" t="s">
        <v>213</v>
      </c>
      <c r="C155" s="6">
        <v>8292200</v>
      </c>
      <c r="D155" s="6">
        <v>0</v>
      </c>
      <c r="E155" s="373">
        <v>0</v>
      </c>
      <c r="F155" s="6">
        <v>0</v>
      </c>
      <c r="G155" s="374">
        <f t="shared" si="182"/>
        <v>8292200</v>
      </c>
      <c r="H155" s="43"/>
      <c r="I155" s="28">
        <f t="shared" si="191"/>
        <v>8292200</v>
      </c>
      <c r="J155" s="28">
        <f>+I155*100/I160</f>
        <v>43.382024479077153</v>
      </c>
      <c r="K155" s="28">
        <f>+H152*J155/100</f>
        <v>1691524.2901677978</v>
      </c>
      <c r="L155" s="28">
        <v>0</v>
      </c>
      <c r="M155" s="28">
        <v>0</v>
      </c>
      <c r="N155" s="28">
        <v>0</v>
      </c>
      <c r="O155" s="28">
        <v>0</v>
      </c>
      <c r="P155" s="45">
        <f t="shared" si="178"/>
        <v>0</v>
      </c>
      <c r="Q155" s="403"/>
      <c r="R155" s="46">
        <f t="shared" si="183"/>
        <v>8292200</v>
      </c>
      <c r="S155" s="46">
        <f t="shared" si="179"/>
        <v>0</v>
      </c>
      <c r="T155" s="46">
        <f t="shared" si="184"/>
        <v>0</v>
      </c>
      <c r="U155" s="46">
        <f t="shared" si="185"/>
        <v>1691524.2901677978</v>
      </c>
      <c r="V155" s="45">
        <f t="shared" si="186"/>
        <v>9983724.2901677974</v>
      </c>
      <c r="W155" s="47">
        <f t="shared" si="180"/>
        <v>0</v>
      </c>
      <c r="X155" s="47">
        <f t="shared" si="180"/>
        <v>0</v>
      </c>
      <c r="Y155" s="47">
        <v>0</v>
      </c>
      <c r="Z155" s="47">
        <f t="shared" si="187"/>
        <v>0</v>
      </c>
      <c r="AA155" s="45">
        <f t="shared" si="188"/>
        <v>0</v>
      </c>
      <c r="AB155" s="46">
        <f t="shared" si="189"/>
        <v>8292200</v>
      </c>
      <c r="AC155" s="46">
        <f t="shared" si="181"/>
        <v>0</v>
      </c>
      <c r="AD155" s="46">
        <f t="shared" si="181"/>
        <v>0</v>
      </c>
      <c r="AE155" s="46">
        <f t="shared" si="181"/>
        <v>1691524.2901677978</v>
      </c>
      <c r="AF155" s="28">
        <f t="shared" si="190"/>
        <v>9983724.2901677974</v>
      </c>
    </row>
    <row r="156" spans="1:32">
      <c r="B156" s="42" t="s">
        <v>214</v>
      </c>
      <c r="C156" s="6">
        <v>501600</v>
      </c>
      <c r="D156" s="6">
        <v>0</v>
      </c>
      <c r="E156" s="373">
        <v>0</v>
      </c>
      <c r="F156" s="6">
        <v>0</v>
      </c>
      <c r="G156" s="374">
        <f t="shared" si="182"/>
        <v>501600</v>
      </c>
      <c r="H156" s="43"/>
      <c r="I156" s="28">
        <f t="shared" si="191"/>
        <v>501600</v>
      </c>
      <c r="J156" s="28">
        <f>+I156*100/I160</f>
        <v>2.6242038878349656</v>
      </c>
      <c r="K156" s="28">
        <f>+H152*J156/100</f>
        <v>102321.28795110676</v>
      </c>
      <c r="L156" s="28">
        <v>0</v>
      </c>
      <c r="M156" s="28">
        <v>0</v>
      </c>
      <c r="N156" s="28">
        <v>0</v>
      </c>
      <c r="O156" s="28">
        <v>0</v>
      </c>
      <c r="P156" s="45">
        <f t="shared" si="178"/>
        <v>0</v>
      </c>
      <c r="Q156" s="403"/>
      <c r="R156" s="46">
        <f t="shared" si="183"/>
        <v>501600</v>
      </c>
      <c r="S156" s="46">
        <f t="shared" si="179"/>
        <v>0</v>
      </c>
      <c r="T156" s="46">
        <f t="shared" si="184"/>
        <v>0</v>
      </c>
      <c r="U156" s="46">
        <f t="shared" si="185"/>
        <v>102321.28795110676</v>
      </c>
      <c r="V156" s="45">
        <f t="shared" si="186"/>
        <v>603921.28795110679</v>
      </c>
      <c r="W156" s="47">
        <f t="shared" si="180"/>
        <v>0</v>
      </c>
      <c r="X156" s="47">
        <f t="shared" si="180"/>
        <v>0</v>
      </c>
      <c r="Y156" s="47">
        <v>0</v>
      </c>
      <c r="Z156" s="47">
        <f t="shared" si="187"/>
        <v>0</v>
      </c>
      <c r="AA156" s="45">
        <f t="shared" si="188"/>
        <v>0</v>
      </c>
      <c r="AB156" s="46">
        <f t="shared" si="189"/>
        <v>501600</v>
      </c>
      <c r="AC156" s="46">
        <f t="shared" si="181"/>
        <v>0</v>
      </c>
      <c r="AD156" s="46">
        <f t="shared" si="181"/>
        <v>0</v>
      </c>
      <c r="AE156" s="46">
        <f t="shared" si="181"/>
        <v>102321.28795110676</v>
      </c>
      <c r="AF156" s="28">
        <f t="shared" si="190"/>
        <v>603921.28795110679</v>
      </c>
    </row>
    <row r="157" spans="1:32">
      <c r="B157" s="50" t="s">
        <v>437</v>
      </c>
      <c r="C157" s="28">
        <v>0</v>
      </c>
      <c r="D157" s="28">
        <v>0</v>
      </c>
      <c r="E157" s="40">
        <v>0</v>
      </c>
      <c r="F157" s="28">
        <v>0</v>
      </c>
      <c r="G157" s="374">
        <f t="shared" si="182"/>
        <v>0</v>
      </c>
      <c r="H157" s="43"/>
      <c r="I157" s="28">
        <f t="shared" si="191"/>
        <v>0</v>
      </c>
      <c r="J157" s="28">
        <f>+I157*100/I160</f>
        <v>0</v>
      </c>
      <c r="K157" s="28">
        <f>+H152*J157/100</f>
        <v>0</v>
      </c>
      <c r="L157" s="28">
        <v>0</v>
      </c>
      <c r="M157" s="28">
        <v>0</v>
      </c>
      <c r="N157" s="28">
        <v>0</v>
      </c>
      <c r="O157" s="28">
        <v>0</v>
      </c>
      <c r="P157" s="45">
        <f t="shared" si="178"/>
        <v>0</v>
      </c>
      <c r="Q157" s="403"/>
      <c r="R157" s="46">
        <f t="shared" si="183"/>
        <v>0</v>
      </c>
      <c r="S157" s="46">
        <f t="shared" si="179"/>
        <v>0</v>
      </c>
      <c r="T157" s="46">
        <f t="shared" si="184"/>
        <v>0</v>
      </c>
      <c r="U157" s="46">
        <f t="shared" si="185"/>
        <v>0</v>
      </c>
      <c r="V157" s="45">
        <f t="shared" si="186"/>
        <v>0</v>
      </c>
      <c r="W157" s="47">
        <f>+C471*R157/R262</f>
        <v>0</v>
      </c>
      <c r="X157" s="47">
        <v>0</v>
      </c>
      <c r="Y157" s="47">
        <v>0</v>
      </c>
      <c r="Z157" s="47">
        <v>0</v>
      </c>
      <c r="AA157" s="45">
        <f t="shared" si="188"/>
        <v>0</v>
      </c>
      <c r="AB157" s="46">
        <f t="shared" si="189"/>
        <v>0</v>
      </c>
      <c r="AC157" s="46">
        <f t="shared" si="181"/>
        <v>0</v>
      </c>
      <c r="AD157" s="46">
        <f t="shared" si="181"/>
        <v>0</v>
      </c>
      <c r="AE157" s="46">
        <f t="shared" si="181"/>
        <v>0</v>
      </c>
      <c r="AF157" s="28">
        <f t="shared" si="190"/>
        <v>0</v>
      </c>
    </row>
    <row r="158" spans="1:32">
      <c r="B158" s="50" t="s">
        <v>219</v>
      </c>
      <c r="C158" s="28">
        <v>0</v>
      </c>
      <c r="D158" s="28">
        <v>0</v>
      </c>
      <c r="E158" s="40">
        <v>0</v>
      </c>
      <c r="F158" s="28">
        <v>0</v>
      </c>
      <c r="G158" s="374">
        <f t="shared" si="182"/>
        <v>0</v>
      </c>
      <c r="H158" s="43"/>
      <c r="I158" s="28">
        <f t="shared" si="191"/>
        <v>0</v>
      </c>
      <c r="J158" s="28">
        <f>+I158*100/I160</f>
        <v>0</v>
      </c>
      <c r="K158" s="28">
        <f>+H152*J158/100</f>
        <v>0</v>
      </c>
      <c r="L158" s="28">
        <v>0</v>
      </c>
      <c r="M158" s="28">
        <v>0</v>
      </c>
      <c r="N158" s="28">
        <v>0</v>
      </c>
      <c r="O158" s="28">
        <v>0</v>
      </c>
      <c r="P158" s="45">
        <f t="shared" si="178"/>
        <v>0</v>
      </c>
      <c r="Q158" s="403"/>
      <c r="R158" s="46">
        <f t="shared" si="183"/>
        <v>0</v>
      </c>
      <c r="S158" s="46">
        <f t="shared" si="179"/>
        <v>0</v>
      </c>
      <c r="T158" s="46">
        <f t="shared" si="184"/>
        <v>0</v>
      </c>
      <c r="U158" s="46">
        <f t="shared" si="185"/>
        <v>0</v>
      </c>
      <c r="V158" s="45">
        <f t="shared" si="186"/>
        <v>0</v>
      </c>
      <c r="W158" s="47">
        <f>+C472*R158/R263</f>
        <v>0</v>
      </c>
      <c r="X158" s="47">
        <v>0</v>
      </c>
      <c r="Y158" s="47">
        <v>0</v>
      </c>
      <c r="Z158" s="47">
        <f t="shared" si="187"/>
        <v>0</v>
      </c>
      <c r="AA158" s="45">
        <f t="shared" si="188"/>
        <v>0</v>
      </c>
      <c r="AB158" s="46">
        <f t="shared" si="189"/>
        <v>0</v>
      </c>
      <c r="AC158" s="46">
        <f t="shared" si="181"/>
        <v>0</v>
      </c>
      <c r="AD158" s="46">
        <f t="shared" si="181"/>
        <v>0</v>
      </c>
      <c r="AE158" s="46">
        <f t="shared" si="181"/>
        <v>0</v>
      </c>
      <c r="AF158" s="28">
        <f t="shared" si="190"/>
        <v>0</v>
      </c>
    </row>
    <row r="159" spans="1:32">
      <c r="B159" s="42" t="s">
        <v>216</v>
      </c>
      <c r="C159" s="28">
        <v>0</v>
      </c>
      <c r="D159" s="28">
        <v>0</v>
      </c>
      <c r="E159" s="40">
        <v>0</v>
      </c>
      <c r="F159" s="28">
        <v>0</v>
      </c>
      <c r="G159" s="374">
        <f t="shared" si="182"/>
        <v>0</v>
      </c>
      <c r="H159" s="43"/>
      <c r="I159" s="28">
        <f t="shared" si="191"/>
        <v>0</v>
      </c>
      <c r="J159" s="28">
        <f>+I159*100/I160</f>
        <v>0</v>
      </c>
      <c r="K159" s="44"/>
      <c r="L159" s="28">
        <v>0</v>
      </c>
      <c r="M159" s="28">
        <v>0</v>
      </c>
      <c r="N159" s="28">
        <v>0</v>
      </c>
      <c r="O159" s="28">
        <v>0</v>
      </c>
      <c r="P159" s="45">
        <f t="shared" si="178"/>
        <v>0</v>
      </c>
      <c r="Q159" s="403"/>
      <c r="R159" s="46">
        <f t="shared" si="183"/>
        <v>0</v>
      </c>
      <c r="S159" s="46">
        <f t="shared" si="179"/>
        <v>0</v>
      </c>
      <c r="T159" s="46">
        <f t="shared" si="184"/>
        <v>0</v>
      </c>
      <c r="U159" s="46">
        <f t="shared" si="185"/>
        <v>0</v>
      </c>
      <c r="V159" s="45">
        <f t="shared" si="186"/>
        <v>0</v>
      </c>
      <c r="W159" s="47">
        <v>0</v>
      </c>
      <c r="X159" s="47">
        <v>0</v>
      </c>
      <c r="Y159" s="47">
        <v>0</v>
      </c>
      <c r="Z159" s="47">
        <v>0</v>
      </c>
      <c r="AA159" s="45">
        <f t="shared" si="188"/>
        <v>0</v>
      </c>
      <c r="AB159" s="46">
        <f t="shared" si="189"/>
        <v>0</v>
      </c>
      <c r="AC159" s="46">
        <f t="shared" si="181"/>
        <v>0</v>
      </c>
      <c r="AD159" s="46">
        <f t="shared" si="181"/>
        <v>0</v>
      </c>
      <c r="AE159" s="46">
        <f t="shared" si="181"/>
        <v>0</v>
      </c>
      <c r="AF159" s="28">
        <f t="shared" si="190"/>
        <v>0</v>
      </c>
    </row>
    <row r="160" spans="1:32">
      <c r="B160" s="42"/>
      <c r="C160" s="28">
        <f>SUM(C151:C159)</f>
        <v>12957665.43</v>
      </c>
      <c r="D160" s="28">
        <f t="shared" ref="D160:F160" si="192">SUM(D151:D159)</f>
        <v>6156703.0199999996</v>
      </c>
      <c r="E160" s="28">
        <f t="shared" si="192"/>
        <v>0</v>
      </c>
      <c r="F160" s="28">
        <f t="shared" si="192"/>
        <v>3899136.36</v>
      </c>
      <c r="G160" s="28">
        <f>SUM(G151:G159)</f>
        <v>23013504.809999999</v>
      </c>
      <c r="H160" s="43"/>
      <c r="I160" s="28">
        <f>SUM(I152:I159)</f>
        <v>19114368.449999999</v>
      </c>
      <c r="J160" s="28">
        <f>SUM(J152:J159)</f>
        <v>100</v>
      </c>
      <c r="K160" s="28">
        <f>SUM(K152:K159)</f>
        <v>3899136.36</v>
      </c>
      <c r="L160" s="28">
        <f>SUM(L151:L159)</f>
        <v>0</v>
      </c>
      <c r="M160" s="28">
        <f>SUM(M151:M159)</f>
        <v>0</v>
      </c>
      <c r="N160" s="28">
        <f>SUM(N151:N159)</f>
        <v>0</v>
      </c>
      <c r="O160" s="28">
        <f>SUM(O151:O159)</f>
        <v>0</v>
      </c>
      <c r="P160" s="45">
        <f t="shared" si="178"/>
        <v>0</v>
      </c>
      <c r="Q160" s="403">
        <f>SUM(Q151:Q159)</f>
        <v>497612.61</v>
      </c>
      <c r="R160" s="46">
        <f t="shared" ref="R160:Z160" si="193">SUM(R151:R159)</f>
        <v>12957665.43</v>
      </c>
      <c r="S160" s="46">
        <f t="shared" si="193"/>
        <v>6156703.0199999996</v>
      </c>
      <c r="T160" s="46">
        <f t="shared" si="193"/>
        <v>497612.61</v>
      </c>
      <c r="U160" s="46">
        <f t="shared" si="193"/>
        <v>3899136.36</v>
      </c>
      <c r="V160" s="51">
        <f t="shared" si="193"/>
        <v>23511117.419999998</v>
      </c>
      <c r="W160" s="46">
        <f t="shared" si="193"/>
        <v>5907604.6955312556</v>
      </c>
      <c r="X160" s="28">
        <f t="shared" si="193"/>
        <v>3393925.512246469</v>
      </c>
      <c r="Y160" s="28">
        <f t="shared" si="193"/>
        <v>0</v>
      </c>
      <c r="Z160" s="28">
        <f t="shared" si="193"/>
        <v>1273204.7036703606</v>
      </c>
      <c r="AA160" s="45">
        <f>SUM(W160:Z160)</f>
        <v>10574734.911448084</v>
      </c>
      <c r="AB160" s="46">
        <f>SUM(AB151:AB159)</f>
        <v>18865270.125531256</v>
      </c>
      <c r="AC160" s="46">
        <f t="shared" ref="AC160:AF160" si="194">SUM(AC151:AC159)</f>
        <v>9550628.5322464686</v>
      </c>
      <c r="AD160" s="46">
        <f t="shared" si="194"/>
        <v>497612.61</v>
      </c>
      <c r="AE160" s="46">
        <f t="shared" si="194"/>
        <v>5172341.0636703605</v>
      </c>
      <c r="AF160" s="46">
        <f t="shared" si="194"/>
        <v>34085852.331448086</v>
      </c>
    </row>
    <row r="161" spans="1:32">
      <c r="B161" s="52"/>
      <c r="C161" s="33">
        <f>16126824.04-3169158.61</f>
        <v>12957665.43</v>
      </c>
      <c r="D161" s="33">
        <f>6886680.77-729977.75</f>
        <v>6156703.0199999996</v>
      </c>
      <c r="E161" s="53">
        <v>0</v>
      </c>
      <c r="F161" s="33">
        <f>3169158.61+729977.75</f>
        <v>3899136.36</v>
      </c>
      <c r="G161" s="33">
        <f>SUM(C161:F161)</f>
        <v>23013504.809999999</v>
      </c>
      <c r="H161" s="61"/>
      <c r="I161" s="33"/>
      <c r="J161" s="33"/>
      <c r="K161" s="33"/>
      <c r="L161" s="33"/>
      <c r="M161" s="33"/>
      <c r="N161" s="33"/>
      <c r="O161" s="33"/>
      <c r="R161" s="33"/>
      <c r="S161" s="33"/>
      <c r="T161" s="33"/>
      <c r="U161" s="33"/>
      <c r="V161" s="29"/>
      <c r="W161" s="33"/>
      <c r="X161" s="33"/>
      <c r="Y161" s="33"/>
      <c r="Z161" s="33"/>
      <c r="AA161" s="29"/>
      <c r="AB161" s="33"/>
      <c r="AC161" s="33"/>
      <c r="AD161" s="33"/>
      <c r="AE161" s="33"/>
      <c r="AF161" s="33"/>
    </row>
    <row r="162" spans="1:32">
      <c r="B162" s="58"/>
      <c r="C162" s="27"/>
      <c r="D162" s="27"/>
      <c r="E162" s="59"/>
      <c r="F162" s="60"/>
      <c r="G162" s="29">
        <f>SUM(C162:F162)</f>
        <v>0</v>
      </c>
      <c r="R162" s="27"/>
      <c r="S162" s="27"/>
      <c r="T162" s="27"/>
      <c r="U162" s="27"/>
      <c r="V162" s="29"/>
    </row>
    <row r="163" spans="1:32">
      <c r="A163" s="389" t="s">
        <v>204</v>
      </c>
      <c r="B163" s="636" t="s">
        <v>228</v>
      </c>
      <c r="C163" s="636"/>
      <c r="D163" s="636"/>
      <c r="E163" s="636"/>
      <c r="F163" s="636"/>
      <c r="G163" s="636"/>
      <c r="R163" s="27"/>
      <c r="S163" s="27"/>
      <c r="T163" s="27"/>
      <c r="U163" s="27"/>
      <c r="V163" s="29"/>
    </row>
    <row r="164" spans="1:32">
      <c r="B164" s="55" t="s">
        <v>9</v>
      </c>
      <c r="C164" s="40" t="s">
        <v>206</v>
      </c>
      <c r="D164" s="40" t="s">
        <v>207</v>
      </c>
      <c r="E164" s="40" t="s">
        <v>10</v>
      </c>
      <c r="F164" s="40" t="s">
        <v>11</v>
      </c>
      <c r="G164" s="48" t="s">
        <v>208</v>
      </c>
      <c r="H164" s="43"/>
      <c r="I164" s="44"/>
      <c r="J164" s="44"/>
      <c r="K164" s="44"/>
      <c r="L164" s="28"/>
      <c r="M164" s="28"/>
      <c r="N164" s="28"/>
      <c r="O164" s="28"/>
      <c r="P164" s="45"/>
      <c r="Q164" s="403"/>
      <c r="R164" s="46"/>
      <c r="S164" s="28"/>
      <c r="T164" s="28"/>
      <c r="U164" s="28"/>
      <c r="V164" s="45"/>
      <c r="W164" s="56"/>
      <c r="X164" s="44"/>
      <c r="Y164" s="44"/>
      <c r="Z164" s="44"/>
      <c r="AA164" s="57"/>
      <c r="AB164" s="56"/>
      <c r="AC164" s="44"/>
      <c r="AD164" s="44"/>
      <c r="AE164" s="44"/>
      <c r="AF164" s="44"/>
    </row>
    <row r="165" spans="1:32">
      <c r="B165" s="42" t="s">
        <v>209</v>
      </c>
      <c r="C165" s="6">
        <v>0</v>
      </c>
      <c r="D165" s="6">
        <v>0</v>
      </c>
      <c r="E165" s="373">
        <v>0</v>
      </c>
      <c r="F165" s="6">
        <f>SUM(C165:E165)</f>
        <v>0</v>
      </c>
      <c r="G165" s="374">
        <f t="shared" ref="G165:G174" si="195">SUM(C165:F165)</f>
        <v>0</v>
      </c>
      <c r="H165" s="43"/>
      <c r="I165" s="44"/>
      <c r="J165" s="44"/>
      <c r="K165" s="44"/>
      <c r="L165" s="28">
        <v>0</v>
      </c>
      <c r="M165" s="28">
        <v>0</v>
      </c>
      <c r="N165" s="28">
        <v>0</v>
      </c>
      <c r="O165" s="28">
        <v>0</v>
      </c>
      <c r="P165" s="45">
        <f t="shared" ref="P165:P174" si="196">SUM(L165:O165)</f>
        <v>0</v>
      </c>
      <c r="Q165" s="403"/>
      <c r="R165" s="46">
        <f>+C165+L165</f>
        <v>0</v>
      </c>
      <c r="S165" s="46">
        <f t="shared" ref="S165:S173" si="197">+D165+M165</f>
        <v>0</v>
      </c>
      <c r="T165" s="46">
        <f>+E165+N165+Q165</f>
        <v>0</v>
      </c>
      <c r="U165" s="46">
        <f>+F165</f>
        <v>0</v>
      </c>
      <c r="V165" s="45">
        <f>SUM(R165:U165)</f>
        <v>0</v>
      </c>
      <c r="W165" s="47">
        <f t="shared" ref="W165:X170" si="198">+C465*R165/R256</f>
        <v>0</v>
      </c>
      <c r="X165" s="47">
        <f t="shared" si="198"/>
        <v>0</v>
      </c>
      <c r="Y165" s="47">
        <v>0</v>
      </c>
      <c r="Z165" s="47">
        <f>+F465*U165/U256</f>
        <v>0</v>
      </c>
      <c r="AA165" s="45">
        <f t="shared" ref="AA165:AA174" si="199">SUM(W165:Z165)</f>
        <v>0</v>
      </c>
      <c r="AB165" s="46">
        <f>+R165+W165</f>
        <v>0</v>
      </c>
      <c r="AC165" s="46">
        <f t="shared" ref="AC165:AE173" si="200">+S165+X165</f>
        <v>0</v>
      </c>
      <c r="AD165" s="46">
        <f t="shared" si="200"/>
        <v>0</v>
      </c>
      <c r="AE165" s="46">
        <f t="shared" si="200"/>
        <v>0</v>
      </c>
      <c r="AF165" s="28">
        <f>SUM(AB165:AE165)</f>
        <v>0</v>
      </c>
    </row>
    <row r="166" spans="1:32">
      <c r="B166" s="42" t="s">
        <v>210</v>
      </c>
      <c r="C166" s="6">
        <v>9562429.0299999993</v>
      </c>
      <c r="D166" s="6">
        <v>680815.24</v>
      </c>
      <c r="E166" s="373">
        <v>0</v>
      </c>
      <c r="F166" s="6">
        <v>3549690.6</v>
      </c>
      <c r="G166" s="374">
        <f t="shared" si="195"/>
        <v>13792934.869999999</v>
      </c>
      <c r="H166" s="43"/>
      <c r="I166" s="44"/>
      <c r="J166" s="44"/>
      <c r="K166" s="44"/>
      <c r="L166" s="28">
        <v>0</v>
      </c>
      <c r="M166" s="28">
        <v>0</v>
      </c>
      <c r="N166" s="28">
        <v>0</v>
      </c>
      <c r="O166" s="28">
        <v>0</v>
      </c>
      <c r="P166" s="45">
        <f t="shared" si="196"/>
        <v>0</v>
      </c>
      <c r="Q166" s="403">
        <v>96686.96</v>
      </c>
      <c r="R166" s="46">
        <f t="shared" ref="R166:R173" si="201">+C166+L166</f>
        <v>9562429.0299999993</v>
      </c>
      <c r="S166" s="46">
        <f t="shared" si="197"/>
        <v>680815.24</v>
      </c>
      <c r="T166" s="46">
        <f t="shared" ref="T166:T173" si="202">+E166+N166+Q166</f>
        <v>96686.96</v>
      </c>
      <c r="U166" s="46">
        <f t="shared" ref="U166:U173" si="203">+F166</f>
        <v>3549690.6</v>
      </c>
      <c r="V166" s="45">
        <f t="shared" ref="V166:V173" si="204">SUM(R166:U166)</f>
        <v>13889621.83</v>
      </c>
      <c r="W166" s="47">
        <f t="shared" si="198"/>
        <v>14361471.880662145</v>
      </c>
      <c r="X166" s="47">
        <f t="shared" si="198"/>
        <v>386995.1657855162</v>
      </c>
      <c r="Y166" s="47">
        <v>0</v>
      </c>
      <c r="Z166" s="47">
        <f t="shared" ref="Z166:Z172" si="205">+F466*U166/U257</f>
        <v>2243053.6387754967</v>
      </c>
      <c r="AA166" s="45">
        <f t="shared" si="199"/>
        <v>16991520.685223158</v>
      </c>
      <c r="AB166" s="46">
        <f t="shared" ref="AB166:AB173" si="206">+R166+W166</f>
        <v>23923900.910662144</v>
      </c>
      <c r="AC166" s="46">
        <f t="shared" si="200"/>
        <v>1067810.4057855161</v>
      </c>
      <c r="AD166" s="46">
        <f t="shared" si="200"/>
        <v>96686.96</v>
      </c>
      <c r="AE166" s="46">
        <f t="shared" si="200"/>
        <v>5792744.2387754973</v>
      </c>
      <c r="AF166" s="28">
        <f t="shared" ref="AF166:AF173" si="207">SUM(AB166:AE166)</f>
        <v>30881142.51522316</v>
      </c>
    </row>
    <row r="167" spans="1:32" ht="23.25">
      <c r="B167" s="42" t="s">
        <v>211</v>
      </c>
      <c r="C167" s="6">
        <v>273207</v>
      </c>
      <c r="D167" s="375">
        <v>0</v>
      </c>
      <c r="E167" s="375">
        <v>0</v>
      </c>
      <c r="F167" s="373">
        <v>95585.3</v>
      </c>
      <c r="G167" s="374">
        <f t="shared" si="195"/>
        <v>368792.3</v>
      </c>
      <c r="H167" s="43"/>
      <c r="I167" s="44"/>
      <c r="J167" s="44"/>
      <c r="K167" s="44"/>
      <c r="L167" s="28">
        <v>0</v>
      </c>
      <c r="M167" s="28">
        <v>0</v>
      </c>
      <c r="N167" s="28">
        <v>0</v>
      </c>
      <c r="O167" s="28">
        <v>0</v>
      </c>
      <c r="P167" s="45">
        <f t="shared" si="196"/>
        <v>0</v>
      </c>
      <c r="Q167" s="403"/>
      <c r="R167" s="46">
        <f t="shared" si="201"/>
        <v>273207</v>
      </c>
      <c r="S167" s="46">
        <f t="shared" si="197"/>
        <v>0</v>
      </c>
      <c r="T167" s="46">
        <f t="shared" si="202"/>
        <v>0</v>
      </c>
      <c r="U167" s="46">
        <f t="shared" si="203"/>
        <v>95585.3</v>
      </c>
      <c r="V167" s="45">
        <f t="shared" si="204"/>
        <v>368792.3</v>
      </c>
      <c r="W167" s="47">
        <f t="shared" si="198"/>
        <v>35359.946836291419</v>
      </c>
      <c r="X167" s="47">
        <f t="shared" si="198"/>
        <v>0</v>
      </c>
      <c r="Y167" s="47">
        <v>0</v>
      </c>
      <c r="Z167" s="47">
        <f t="shared" si="205"/>
        <v>0</v>
      </c>
      <c r="AA167" s="45">
        <f t="shared" si="199"/>
        <v>35359.946836291419</v>
      </c>
      <c r="AB167" s="46">
        <f t="shared" si="206"/>
        <v>308566.9468362914</v>
      </c>
      <c r="AC167" s="46">
        <f t="shared" si="200"/>
        <v>0</v>
      </c>
      <c r="AD167" s="46">
        <f t="shared" si="200"/>
        <v>0</v>
      </c>
      <c r="AE167" s="46">
        <f t="shared" si="200"/>
        <v>95585.3</v>
      </c>
      <c r="AF167" s="28">
        <f t="shared" si="207"/>
        <v>404152.24683629139</v>
      </c>
    </row>
    <row r="168" spans="1:32">
      <c r="B168" s="42" t="s">
        <v>212</v>
      </c>
      <c r="C168" s="6">
        <v>169289.5</v>
      </c>
      <c r="D168" s="6">
        <v>0</v>
      </c>
      <c r="E168" s="373">
        <v>0</v>
      </c>
      <c r="F168" s="6">
        <v>60827.01</v>
      </c>
      <c r="G168" s="374">
        <f t="shared" si="195"/>
        <v>230116.51</v>
      </c>
      <c r="H168" s="43"/>
      <c r="I168" s="44"/>
      <c r="J168" s="44"/>
      <c r="K168" s="44"/>
      <c r="L168" s="28">
        <v>0</v>
      </c>
      <c r="M168" s="28">
        <v>0</v>
      </c>
      <c r="N168" s="28">
        <v>0</v>
      </c>
      <c r="O168" s="28">
        <v>0</v>
      </c>
      <c r="P168" s="45">
        <f t="shared" si="196"/>
        <v>0</v>
      </c>
      <c r="Q168" s="403"/>
      <c r="R168" s="46">
        <f t="shared" si="201"/>
        <v>169289.5</v>
      </c>
      <c r="S168" s="46">
        <f t="shared" si="197"/>
        <v>0</v>
      </c>
      <c r="T168" s="46">
        <f t="shared" si="202"/>
        <v>0</v>
      </c>
      <c r="U168" s="46">
        <f t="shared" si="203"/>
        <v>60827.01</v>
      </c>
      <c r="V168" s="45">
        <f t="shared" si="204"/>
        <v>230116.51</v>
      </c>
      <c r="W168" s="47">
        <f t="shared" si="198"/>
        <v>122723.70318277233</v>
      </c>
      <c r="X168" s="47">
        <f t="shared" si="198"/>
        <v>0</v>
      </c>
      <c r="Y168" s="47">
        <v>0</v>
      </c>
      <c r="Z168" s="47">
        <f t="shared" si="205"/>
        <v>12927.731218420467</v>
      </c>
      <c r="AA168" s="45">
        <f t="shared" si="199"/>
        <v>135651.43440119279</v>
      </c>
      <c r="AB168" s="46">
        <f t="shared" si="206"/>
        <v>292013.20318277233</v>
      </c>
      <c r="AC168" s="46">
        <f t="shared" si="200"/>
        <v>0</v>
      </c>
      <c r="AD168" s="46">
        <f t="shared" si="200"/>
        <v>0</v>
      </c>
      <c r="AE168" s="46">
        <f t="shared" si="200"/>
        <v>73754.741218420473</v>
      </c>
      <c r="AF168" s="28">
        <f t="shared" si="207"/>
        <v>365767.94440119283</v>
      </c>
    </row>
    <row r="169" spans="1:32">
      <c r="B169" s="42" t="s">
        <v>213</v>
      </c>
      <c r="C169" s="6">
        <v>868400</v>
      </c>
      <c r="D169" s="6">
        <v>0</v>
      </c>
      <c r="E169" s="373">
        <v>0</v>
      </c>
      <c r="F169" s="6">
        <v>299790.27</v>
      </c>
      <c r="G169" s="374">
        <f t="shared" si="195"/>
        <v>1168190.27</v>
      </c>
      <c r="H169" s="43"/>
      <c r="I169" s="44"/>
      <c r="J169" s="44"/>
      <c r="K169" s="44"/>
      <c r="L169" s="28">
        <v>0</v>
      </c>
      <c r="M169" s="28">
        <v>0</v>
      </c>
      <c r="N169" s="28">
        <v>0</v>
      </c>
      <c r="O169" s="28">
        <v>0</v>
      </c>
      <c r="P169" s="45">
        <f t="shared" si="196"/>
        <v>0</v>
      </c>
      <c r="Q169" s="403"/>
      <c r="R169" s="46">
        <f t="shared" si="201"/>
        <v>868400</v>
      </c>
      <c r="S169" s="46">
        <f t="shared" si="197"/>
        <v>0</v>
      </c>
      <c r="T169" s="46">
        <f t="shared" si="202"/>
        <v>0</v>
      </c>
      <c r="U169" s="46">
        <f t="shared" si="203"/>
        <v>299790.27</v>
      </c>
      <c r="V169" s="45">
        <f t="shared" si="204"/>
        <v>1168190.27</v>
      </c>
      <c r="W169" s="47">
        <f t="shared" si="198"/>
        <v>0</v>
      </c>
      <c r="X169" s="47">
        <f t="shared" si="198"/>
        <v>0</v>
      </c>
      <c r="Y169" s="47">
        <v>0</v>
      </c>
      <c r="Z169" s="47">
        <f t="shared" si="205"/>
        <v>0</v>
      </c>
      <c r="AA169" s="45">
        <f t="shared" si="199"/>
        <v>0</v>
      </c>
      <c r="AB169" s="46">
        <f t="shared" si="206"/>
        <v>868400</v>
      </c>
      <c r="AC169" s="46">
        <f t="shared" si="200"/>
        <v>0</v>
      </c>
      <c r="AD169" s="46">
        <f t="shared" si="200"/>
        <v>0</v>
      </c>
      <c r="AE169" s="46">
        <f t="shared" si="200"/>
        <v>299790.27</v>
      </c>
      <c r="AF169" s="28">
        <f t="shared" si="207"/>
        <v>1168190.27</v>
      </c>
    </row>
    <row r="170" spans="1:32">
      <c r="B170" s="42" t="s">
        <v>214</v>
      </c>
      <c r="C170" s="6">
        <v>916000</v>
      </c>
      <c r="D170" s="6">
        <v>0</v>
      </c>
      <c r="E170" s="373">
        <v>0</v>
      </c>
      <c r="F170" s="6">
        <v>317169.43</v>
      </c>
      <c r="G170" s="374">
        <f t="shared" si="195"/>
        <v>1233169.43</v>
      </c>
      <c r="H170" s="43"/>
      <c r="I170" s="44"/>
      <c r="J170" s="44"/>
      <c r="K170" s="44"/>
      <c r="L170" s="28">
        <v>0</v>
      </c>
      <c r="M170" s="28">
        <v>0</v>
      </c>
      <c r="N170" s="28">
        <v>0</v>
      </c>
      <c r="O170" s="28">
        <v>0</v>
      </c>
      <c r="P170" s="45">
        <f t="shared" si="196"/>
        <v>0</v>
      </c>
      <c r="Q170" s="403"/>
      <c r="R170" s="46">
        <f t="shared" si="201"/>
        <v>916000</v>
      </c>
      <c r="S170" s="46">
        <f t="shared" si="197"/>
        <v>0</v>
      </c>
      <c r="T170" s="46">
        <f t="shared" si="202"/>
        <v>0</v>
      </c>
      <c r="U170" s="46">
        <f t="shared" si="203"/>
        <v>317169.43</v>
      </c>
      <c r="V170" s="45">
        <f t="shared" si="204"/>
        <v>1233169.43</v>
      </c>
      <c r="W170" s="47">
        <f t="shared" si="198"/>
        <v>0</v>
      </c>
      <c r="X170" s="47">
        <f t="shared" si="198"/>
        <v>0</v>
      </c>
      <c r="Y170" s="47">
        <v>0</v>
      </c>
      <c r="Z170" s="47">
        <f t="shared" si="205"/>
        <v>0</v>
      </c>
      <c r="AA170" s="45">
        <f t="shared" si="199"/>
        <v>0</v>
      </c>
      <c r="AB170" s="46">
        <f t="shared" si="206"/>
        <v>916000</v>
      </c>
      <c r="AC170" s="46">
        <f t="shared" si="200"/>
        <v>0</v>
      </c>
      <c r="AD170" s="46">
        <f t="shared" si="200"/>
        <v>0</v>
      </c>
      <c r="AE170" s="46">
        <f t="shared" si="200"/>
        <v>317169.43</v>
      </c>
      <c r="AF170" s="28">
        <f t="shared" si="207"/>
        <v>1233169.43</v>
      </c>
    </row>
    <row r="171" spans="1:32">
      <c r="B171" s="50" t="s">
        <v>437</v>
      </c>
      <c r="C171" s="28">
        <v>0</v>
      </c>
      <c r="D171" s="28">
        <v>0</v>
      </c>
      <c r="E171" s="40">
        <v>0</v>
      </c>
      <c r="F171" s="28">
        <v>0</v>
      </c>
      <c r="G171" s="374">
        <f t="shared" si="195"/>
        <v>0</v>
      </c>
      <c r="H171" s="43"/>
      <c r="I171" s="44"/>
      <c r="J171" s="44"/>
      <c r="K171" s="44"/>
      <c r="L171" s="28">
        <v>0</v>
      </c>
      <c r="M171" s="28">
        <v>0</v>
      </c>
      <c r="N171" s="28">
        <v>0</v>
      </c>
      <c r="O171" s="28">
        <v>0</v>
      </c>
      <c r="P171" s="45">
        <f t="shared" si="196"/>
        <v>0</v>
      </c>
      <c r="Q171" s="403"/>
      <c r="R171" s="46">
        <f t="shared" si="201"/>
        <v>0</v>
      </c>
      <c r="S171" s="46">
        <f t="shared" si="197"/>
        <v>0</v>
      </c>
      <c r="T171" s="46">
        <f t="shared" si="202"/>
        <v>0</v>
      </c>
      <c r="U171" s="46">
        <f t="shared" si="203"/>
        <v>0</v>
      </c>
      <c r="V171" s="45">
        <f t="shared" si="204"/>
        <v>0</v>
      </c>
      <c r="W171" s="47">
        <f>+C471*R171/R262</f>
        <v>0</v>
      </c>
      <c r="X171" s="47">
        <v>0</v>
      </c>
      <c r="Y171" s="47">
        <v>0</v>
      </c>
      <c r="Z171" s="47">
        <v>0</v>
      </c>
      <c r="AA171" s="45">
        <f t="shared" si="199"/>
        <v>0</v>
      </c>
      <c r="AB171" s="46">
        <f t="shared" si="206"/>
        <v>0</v>
      </c>
      <c r="AC171" s="46">
        <f t="shared" si="200"/>
        <v>0</v>
      </c>
      <c r="AD171" s="46">
        <f t="shared" si="200"/>
        <v>0</v>
      </c>
      <c r="AE171" s="46">
        <f t="shared" si="200"/>
        <v>0</v>
      </c>
      <c r="AF171" s="28">
        <f t="shared" si="207"/>
        <v>0</v>
      </c>
    </row>
    <row r="172" spans="1:32">
      <c r="B172" s="50" t="s">
        <v>219</v>
      </c>
      <c r="C172" s="28">
        <v>67040</v>
      </c>
      <c r="D172" s="28">
        <v>0</v>
      </c>
      <c r="E172" s="40">
        <v>0</v>
      </c>
      <c r="F172" s="28">
        <v>21723.93</v>
      </c>
      <c r="G172" s="374">
        <f t="shared" si="195"/>
        <v>88763.93</v>
      </c>
      <c r="H172" s="43"/>
      <c r="I172" s="44"/>
      <c r="J172" s="44"/>
      <c r="K172" s="44"/>
      <c r="L172" s="28">
        <v>0</v>
      </c>
      <c r="M172" s="28">
        <v>0</v>
      </c>
      <c r="N172" s="28">
        <v>0</v>
      </c>
      <c r="O172" s="28">
        <v>0</v>
      </c>
      <c r="P172" s="45">
        <f t="shared" si="196"/>
        <v>0</v>
      </c>
      <c r="Q172" s="403"/>
      <c r="R172" s="46">
        <f t="shared" si="201"/>
        <v>67040</v>
      </c>
      <c r="S172" s="46">
        <f t="shared" si="197"/>
        <v>0</v>
      </c>
      <c r="T172" s="46">
        <f t="shared" si="202"/>
        <v>0</v>
      </c>
      <c r="U172" s="46">
        <f t="shared" si="203"/>
        <v>21723.93</v>
      </c>
      <c r="V172" s="45">
        <f t="shared" si="204"/>
        <v>88763.93</v>
      </c>
      <c r="W172" s="47">
        <f>+C472*R172/R263</f>
        <v>54728.287240713507</v>
      </c>
      <c r="X172" s="47">
        <v>0</v>
      </c>
      <c r="Y172" s="47">
        <v>0</v>
      </c>
      <c r="Z172" s="47">
        <f t="shared" si="205"/>
        <v>4194.2436959183133</v>
      </c>
      <c r="AA172" s="45">
        <f t="shared" si="199"/>
        <v>58922.530936631818</v>
      </c>
      <c r="AB172" s="46">
        <f t="shared" si="206"/>
        <v>121768.28724071351</v>
      </c>
      <c r="AC172" s="46">
        <f t="shared" si="200"/>
        <v>0</v>
      </c>
      <c r="AD172" s="46">
        <f t="shared" si="200"/>
        <v>0</v>
      </c>
      <c r="AE172" s="46">
        <f t="shared" si="200"/>
        <v>25918.173695918314</v>
      </c>
      <c r="AF172" s="28">
        <f t="shared" si="207"/>
        <v>147686.46093663183</v>
      </c>
    </row>
    <row r="173" spans="1:32">
      <c r="B173" s="42" t="s">
        <v>216</v>
      </c>
      <c r="C173" s="28">
        <v>0</v>
      </c>
      <c r="D173" s="28">
        <v>0</v>
      </c>
      <c r="E173" s="40">
        <v>0</v>
      </c>
      <c r="F173" s="28">
        <v>0</v>
      </c>
      <c r="G173" s="374">
        <f t="shared" si="195"/>
        <v>0</v>
      </c>
      <c r="H173" s="43"/>
      <c r="I173" s="44"/>
      <c r="J173" s="44"/>
      <c r="K173" s="44"/>
      <c r="L173" s="28">
        <v>0</v>
      </c>
      <c r="M173" s="28">
        <v>0</v>
      </c>
      <c r="N173" s="28">
        <v>0</v>
      </c>
      <c r="O173" s="28">
        <v>0</v>
      </c>
      <c r="P173" s="45">
        <f t="shared" si="196"/>
        <v>0</v>
      </c>
      <c r="Q173" s="403"/>
      <c r="R173" s="46">
        <f t="shared" si="201"/>
        <v>0</v>
      </c>
      <c r="S173" s="46">
        <f t="shared" si="197"/>
        <v>0</v>
      </c>
      <c r="T173" s="46">
        <f t="shared" si="202"/>
        <v>0</v>
      </c>
      <c r="U173" s="46">
        <f t="shared" si="203"/>
        <v>0</v>
      </c>
      <c r="V173" s="45">
        <f t="shared" si="204"/>
        <v>0</v>
      </c>
      <c r="W173" s="47">
        <v>0</v>
      </c>
      <c r="X173" s="47">
        <v>0</v>
      </c>
      <c r="Y173" s="47">
        <v>0</v>
      </c>
      <c r="Z173" s="47">
        <v>0</v>
      </c>
      <c r="AA173" s="45">
        <f t="shared" si="199"/>
        <v>0</v>
      </c>
      <c r="AB173" s="46">
        <f t="shared" si="206"/>
        <v>0</v>
      </c>
      <c r="AC173" s="46">
        <f t="shared" si="200"/>
        <v>0</v>
      </c>
      <c r="AD173" s="46">
        <f t="shared" si="200"/>
        <v>0</v>
      </c>
      <c r="AE173" s="46">
        <f t="shared" si="200"/>
        <v>0</v>
      </c>
      <c r="AF173" s="28">
        <f t="shared" si="207"/>
        <v>0</v>
      </c>
    </row>
    <row r="174" spans="1:32">
      <c r="B174" s="42"/>
      <c r="C174" s="28">
        <f>SUM(C165:C173)</f>
        <v>11856365.529999999</v>
      </c>
      <c r="D174" s="28">
        <f t="shared" ref="D174:E174" si="208">SUM(D165:D173)</f>
        <v>680815.24</v>
      </c>
      <c r="E174" s="28">
        <f t="shared" si="208"/>
        <v>0</v>
      </c>
      <c r="F174" s="28">
        <f>SUM(F165:F173)</f>
        <v>4344786.5399999991</v>
      </c>
      <c r="G174" s="45">
        <f t="shared" si="195"/>
        <v>16881967.309999999</v>
      </c>
      <c r="H174" s="43"/>
      <c r="I174" s="44"/>
      <c r="J174" s="44"/>
      <c r="K174" s="44"/>
      <c r="L174" s="28">
        <f>SUM(L165:L173)</f>
        <v>0</v>
      </c>
      <c r="M174" s="28">
        <f>SUM(M165:M173)</f>
        <v>0</v>
      </c>
      <c r="N174" s="28">
        <f>SUM(N165:N173)</f>
        <v>0</v>
      </c>
      <c r="O174" s="28">
        <f>SUM(O165:O173)</f>
        <v>0</v>
      </c>
      <c r="P174" s="45">
        <f t="shared" si="196"/>
        <v>0</v>
      </c>
      <c r="Q174" s="403">
        <f>SUM(Q165:Q173)</f>
        <v>96686.96</v>
      </c>
      <c r="R174" s="46">
        <f t="shared" ref="R174:Z174" si="209">SUM(R165:R173)</f>
        <v>11856365.529999999</v>
      </c>
      <c r="S174" s="46">
        <f t="shared" si="209"/>
        <v>680815.24</v>
      </c>
      <c r="T174" s="46">
        <f t="shared" si="209"/>
        <v>96686.96</v>
      </c>
      <c r="U174" s="46">
        <f t="shared" si="209"/>
        <v>4344786.5399999991</v>
      </c>
      <c r="V174" s="51">
        <f t="shared" si="209"/>
        <v>16978654.27</v>
      </c>
      <c r="W174" s="46">
        <f t="shared" si="209"/>
        <v>14574283.817921922</v>
      </c>
      <c r="X174" s="28">
        <f t="shared" si="209"/>
        <v>386995.1657855162</v>
      </c>
      <c r="Y174" s="28">
        <f t="shared" si="209"/>
        <v>0</v>
      </c>
      <c r="Z174" s="28">
        <f t="shared" si="209"/>
        <v>2260175.6136898356</v>
      </c>
      <c r="AA174" s="45">
        <f t="shared" si="199"/>
        <v>17221454.597397272</v>
      </c>
      <c r="AB174" s="46">
        <f>SUM(AB165:AB173)</f>
        <v>26430649.347921923</v>
      </c>
      <c r="AC174" s="28">
        <f>SUM(AC165:AC173)</f>
        <v>1067810.4057855161</v>
      </c>
      <c r="AD174" s="28">
        <f>SUM(AD165:AD173)</f>
        <v>96686.96</v>
      </c>
      <c r="AE174" s="28">
        <f>SUM(AE165:AE173)</f>
        <v>6604962.1536898352</v>
      </c>
      <c r="AF174" s="28">
        <f>SUM(AB174:AE174)</f>
        <v>34200108.867397279</v>
      </c>
    </row>
    <row r="175" spans="1:32">
      <c r="B175" s="52"/>
      <c r="C175" s="33">
        <f>16099358.4-4242992.87</f>
        <v>11856365.530000001</v>
      </c>
      <c r="D175" s="33">
        <f>782608.91-101793.67</f>
        <v>680815.24</v>
      </c>
      <c r="E175" s="53">
        <v>0</v>
      </c>
      <c r="F175" s="33">
        <f>4242992.87+101793.67</f>
        <v>4344786.54</v>
      </c>
      <c r="G175" s="29">
        <f>SUM(C175:F175)</f>
        <v>16881967.310000002</v>
      </c>
      <c r="R175" s="27"/>
      <c r="S175" s="27"/>
      <c r="T175" s="27"/>
      <c r="U175" s="27"/>
      <c r="V175" s="29"/>
    </row>
    <row r="176" spans="1:32">
      <c r="B176" s="58"/>
      <c r="C176" s="27"/>
      <c r="D176" s="27"/>
      <c r="E176" s="27"/>
      <c r="F176" s="27"/>
      <c r="G176" s="27"/>
      <c r="R176" s="27"/>
      <c r="S176" s="27"/>
      <c r="T176" s="27"/>
      <c r="U176" s="27"/>
      <c r="V176" s="29"/>
    </row>
    <row r="177" spans="1:32">
      <c r="B177" s="58"/>
      <c r="C177" s="27"/>
      <c r="D177" s="27"/>
      <c r="E177" s="59"/>
      <c r="F177" s="60"/>
      <c r="G177" s="33"/>
      <c r="R177" s="27"/>
      <c r="S177" s="27"/>
      <c r="T177" s="27"/>
      <c r="U177" s="27"/>
      <c r="V177" s="29"/>
    </row>
    <row r="178" spans="1:32">
      <c r="B178" s="58"/>
      <c r="C178" s="27"/>
      <c r="D178" s="27"/>
      <c r="E178" s="59"/>
      <c r="F178" s="60"/>
      <c r="G178" s="33"/>
      <c r="R178" s="27"/>
      <c r="S178" s="27"/>
      <c r="T178" s="27"/>
      <c r="U178" s="27"/>
      <c r="V178" s="29"/>
    </row>
    <row r="179" spans="1:32">
      <c r="B179" s="58"/>
      <c r="C179" s="27"/>
      <c r="D179" s="27"/>
      <c r="E179" s="59"/>
      <c r="F179" s="60"/>
      <c r="G179" s="33"/>
      <c r="R179" s="27"/>
      <c r="S179" s="27"/>
      <c r="T179" s="27"/>
      <c r="U179" s="27"/>
      <c r="V179" s="29"/>
    </row>
    <row r="180" spans="1:32">
      <c r="A180" s="389" t="s">
        <v>204</v>
      </c>
      <c r="B180" s="636" t="s">
        <v>229</v>
      </c>
      <c r="C180" s="636"/>
      <c r="D180" s="636"/>
      <c r="E180" s="636"/>
      <c r="F180" s="636"/>
      <c r="G180" s="636"/>
      <c r="R180" s="27"/>
      <c r="S180" s="27"/>
      <c r="T180" s="27"/>
      <c r="U180" s="27"/>
      <c r="V180" s="29"/>
    </row>
    <row r="181" spans="1:32">
      <c r="B181" s="55" t="s">
        <v>9</v>
      </c>
      <c r="C181" s="40" t="s">
        <v>206</v>
      </c>
      <c r="D181" s="40" t="s">
        <v>207</v>
      </c>
      <c r="E181" s="40" t="s">
        <v>10</v>
      </c>
      <c r="F181" s="40" t="s">
        <v>11</v>
      </c>
      <c r="G181" s="48" t="s">
        <v>208</v>
      </c>
      <c r="H181" s="43"/>
      <c r="I181" s="44"/>
      <c r="J181" s="44"/>
      <c r="K181" s="44"/>
      <c r="L181" s="28"/>
      <c r="M181" s="28"/>
      <c r="N181" s="28"/>
      <c r="O181" s="28"/>
      <c r="P181" s="45"/>
      <c r="Q181" s="403"/>
      <c r="R181" s="46"/>
      <c r="S181" s="28"/>
      <c r="T181" s="28"/>
      <c r="U181" s="28"/>
      <c r="V181" s="45"/>
      <c r="W181" s="56"/>
      <c r="X181" s="44"/>
      <c r="Y181" s="44"/>
      <c r="Z181" s="44"/>
      <c r="AA181" s="57"/>
      <c r="AB181" s="56"/>
      <c r="AC181" s="44"/>
      <c r="AD181" s="44"/>
      <c r="AE181" s="44"/>
      <c r="AF181" s="44"/>
    </row>
    <row r="182" spans="1:32">
      <c r="B182" s="42" t="s">
        <v>209</v>
      </c>
      <c r="C182" s="6">
        <v>0</v>
      </c>
      <c r="D182" s="6">
        <v>0</v>
      </c>
      <c r="E182" s="373">
        <v>0</v>
      </c>
      <c r="F182" s="6">
        <f>SUM(C182:E182)</f>
        <v>0</v>
      </c>
      <c r="G182" s="374">
        <f t="shared" ref="G182:G190" si="210">SUM(C182:F182)</f>
        <v>0</v>
      </c>
      <c r="H182" s="43"/>
      <c r="I182" s="44"/>
      <c r="J182" s="44"/>
      <c r="K182" s="44"/>
      <c r="L182" s="28">
        <v>0</v>
      </c>
      <c r="M182" s="28">
        <v>0</v>
      </c>
      <c r="N182" s="28">
        <v>0</v>
      </c>
      <c r="O182" s="28">
        <v>0</v>
      </c>
      <c r="P182" s="45">
        <f t="shared" ref="P182:P191" si="211">SUM(L182:O182)</f>
        <v>0</v>
      </c>
      <c r="Q182" s="403"/>
      <c r="R182" s="46">
        <f>+C182+L182</f>
        <v>0</v>
      </c>
      <c r="S182" s="46">
        <f t="shared" ref="S182:S190" si="212">+D182+M182</f>
        <v>0</v>
      </c>
      <c r="T182" s="46">
        <f>+E182+N182+Q182</f>
        <v>0</v>
      </c>
      <c r="U182" s="46">
        <f>+F182</f>
        <v>0</v>
      </c>
      <c r="V182" s="45">
        <f>SUM(R182:U182)</f>
        <v>0</v>
      </c>
      <c r="W182" s="47">
        <f t="shared" ref="W182:X187" si="213">+C465*R182/R256</f>
        <v>0</v>
      </c>
      <c r="X182" s="47">
        <f t="shared" si="213"/>
        <v>0</v>
      </c>
      <c r="Y182" s="47">
        <v>0</v>
      </c>
      <c r="Z182" s="47">
        <f>+F465*U182/U256</f>
        <v>0</v>
      </c>
      <c r="AA182" s="45">
        <f>SUM(W182:Z182)</f>
        <v>0</v>
      </c>
      <c r="AB182" s="46">
        <f>+R182+W182</f>
        <v>0</v>
      </c>
      <c r="AC182" s="46">
        <f t="shared" ref="AC182:AE190" si="214">+S182+X182</f>
        <v>0</v>
      </c>
      <c r="AD182" s="46">
        <f t="shared" si="214"/>
        <v>0</v>
      </c>
      <c r="AE182" s="46">
        <f t="shared" si="214"/>
        <v>0</v>
      </c>
      <c r="AF182" s="28">
        <f>SUM(AB182:AE182)</f>
        <v>0</v>
      </c>
    </row>
    <row r="183" spans="1:32">
      <c r="B183" s="42" t="s">
        <v>210</v>
      </c>
      <c r="C183" s="6">
        <v>31940060.710000001</v>
      </c>
      <c r="D183" s="6">
        <v>4815892.6500000004</v>
      </c>
      <c r="E183" s="373">
        <v>0</v>
      </c>
      <c r="F183" s="6">
        <v>18926786.809999999</v>
      </c>
      <c r="G183" s="374">
        <f t="shared" si="210"/>
        <v>55682740.170000002</v>
      </c>
      <c r="H183" s="43"/>
      <c r="I183" s="44"/>
      <c r="J183" s="44"/>
      <c r="K183" s="44"/>
      <c r="L183" s="28">
        <v>0</v>
      </c>
      <c r="M183" s="28">
        <v>0</v>
      </c>
      <c r="N183" s="28">
        <v>0</v>
      </c>
      <c r="O183" s="28">
        <v>0</v>
      </c>
      <c r="P183" s="45">
        <f t="shared" si="211"/>
        <v>0</v>
      </c>
      <c r="Q183" s="403">
        <v>185929.55</v>
      </c>
      <c r="R183" s="46">
        <f t="shared" ref="R183:R190" si="215">+C183+L183</f>
        <v>31940060.710000001</v>
      </c>
      <c r="S183" s="46">
        <f t="shared" si="212"/>
        <v>4815892.6500000004</v>
      </c>
      <c r="T183" s="46">
        <f t="shared" ref="T183:T191" si="216">+E183+N183+Q183</f>
        <v>185929.55</v>
      </c>
      <c r="U183" s="46">
        <f t="shared" ref="U183:U190" si="217">+F183</f>
        <v>18926786.809999999</v>
      </c>
      <c r="V183" s="45">
        <f t="shared" ref="V183:V190" si="218">SUM(R183:U183)</f>
        <v>55868669.719999999</v>
      </c>
      <c r="W183" s="47">
        <f t="shared" si="213"/>
        <v>47969640.591759443</v>
      </c>
      <c r="X183" s="47">
        <f t="shared" si="213"/>
        <v>2737493.3241682416</v>
      </c>
      <c r="Y183" s="47">
        <v>0</v>
      </c>
      <c r="Z183" s="47">
        <f>+F466*U183/U257</f>
        <v>11959858.705572415</v>
      </c>
      <c r="AA183" s="45">
        <f t="shared" ref="AA183:AA190" si="219">SUM(W183:Z183)</f>
        <v>62666992.621500105</v>
      </c>
      <c r="AB183" s="46">
        <f t="shared" ref="AB183:AB190" si="220">+R183+W183</f>
        <v>79909701.301759452</v>
      </c>
      <c r="AC183" s="46">
        <f t="shared" si="214"/>
        <v>7553385.974168242</v>
      </c>
      <c r="AD183" s="46">
        <f t="shared" si="214"/>
        <v>185929.55</v>
      </c>
      <c r="AE183" s="46">
        <f t="shared" si="214"/>
        <v>30886645.515572414</v>
      </c>
      <c r="AF183" s="28">
        <f t="shared" ref="AF183:AF190" si="221">SUM(AB183:AE183)</f>
        <v>118535662.3415001</v>
      </c>
    </row>
    <row r="184" spans="1:32" ht="23.25">
      <c r="B184" s="42" t="s">
        <v>211</v>
      </c>
      <c r="C184" s="6">
        <v>288627.36</v>
      </c>
      <c r="D184" s="373">
        <v>20000</v>
      </c>
      <c r="E184" s="375">
        <v>0</v>
      </c>
      <c r="F184" s="373">
        <v>157723.22</v>
      </c>
      <c r="G184" s="374">
        <f t="shared" si="210"/>
        <v>466350.57999999996</v>
      </c>
      <c r="H184" s="43"/>
      <c r="I184" s="44"/>
      <c r="J184" s="44"/>
      <c r="K184" s="44"/>
      <c r="L184" s="28">
        <v>0</v>
      </c>
      <c r="M184" s="28">
        <v>0</v>
      </c>
      <c r="N184" s="28">
        <v>0</v>
      </c>
      <c r="O184" s="28">
        <v>0</v>
      </c>
      <c r="P184" s="45">
        <f t="shared" si="211"/>
        <v>0</v>
      </c>
      <c r="Q184" s="403"/>
      <c r="R184" s="46">
        <f t="shared" si="215"/>
        <v>288627.36</v>
      </c>
      <c r="S184" s="46">
        <f t="shared" si="212"/>
        <v>20000</v>
      </c>
      <c r="T184" s="46">
        <f t="shared" si="216"/>
        <v>0</v>
      </c>
      <c r="U184" s="46">
        <f t="shared" si="217"/>
        <v>157723.22</v>
      </c>
      <c r="V184" s="45">
        <f t="shared" si="218"/>
        <v>466350.57999999996</v>
      </c>
      <c r="W184" s="47">
        <f t="shared" si="213"/>
        <v>37355.734315369467</v>
      </c>
      <c r="X184" s="47">
        <f t="shared" si="213"/>
        <v>0</v>
      </c>
      <c r="Y184" s="47">
        <v>0</v>
      </c>
      <c r="Z184" s="47">
        <f t="shared" ref="Z184:Z189" si="222">+F467*U184/U258</f>
        <v>0</v>
      </c>
      <c r="AA184" s="45">
        <f t="shared" si="219"/>
        <v>37355.734315369467</v>
      </c>
      <c r="AB184" s="46">
        <f t="shared" si="220"/>
        <v>325983.09431536944</v>
      </c>
      <c r="AC184" s="46">
        <f t="shared" si="214"/>
        <v>20000</v>
      </c>
      <c r="AD184" s="46">
        <f t="shared" si="214"/>
        <v>0</v>
      </c>
      <c r="AE184" s="46">
        <f t="shared" si="214"/>
        <v>157723.22</v>
      </c>
      <c r="AF184" s="28">
        <f t="shared" si="221"/>
        <v>503706.31431536947</v>
      </c>
    </row>
    <row r="185" spans="1:32">
      <c r="B185" s="42" t="s">
        <v>212</v>
      </c>
      <c r="C185" s="6">
        <v>229150</v>
      </c>
      <c r="D185" s="6">
        <v>9600</v>
      </c>
      <c r="E185" s="373">
        <v>0</v>
      </c>
      <c r="F185" s="6">
        <v>118292.42</v>
      </c>
      <c r="G185" s="374">
        <f t="shared" si="210"/>
        <v>357042.42</v>
      </c>
      <c r="H185" s="43"/>
      <c r="I185" s="44"/>
      <c r="J185" s="44"/>
      <c r="K185" s="44"/>
      <c r="L185" s="28">
        <v>0</v>
      </c>
      <c r="M185" s="28">
        <v>0</v>
      </c>
      <c r="N185" s="28">
        <v>0</v>
      </c>
      <c r="O185" s="28">
        <v>0</v>
      </c>
      <c r="P185" s="45">
        <f t="shared" si="211"/>
        <v>0</v>
      </c>
      <c r="Q185" s="403"/>
      <c r="R185" s="46">
        <f t="shared" si="215"/>
        <v>229150</v>
      </c>
      <c r="S185" s="46">
        <f t="shared" si="212"/>
        <v>9600</v>
      </c>
      <c r="T185" s="46">
        <f t="shared" si="216"/>
        <v>0</v>
      </c>
      <c r="U185" s="46">
        <f t="shared" si="217"/>
        <v>118292.42</v>
      </c>
      <c r="V185" s="45">
        <f t="shared" si="218"/>
        <v>357042.42</v>
      </c>
      <c r="W185" s="47">
        <f t="shared" si="213"/>
        <v>166118.61092585349</v>
      </c>
      <c r="X185" s="47">
        <f t="shared" si="213"/>
        <v>1506.2427367009541</v>
      </c>
      <c r="Y185" s="47">
        <v>0</v>
      </c>
      <c r="Z185" s="47">
        <f t="shared" si="222"/>
        <v>25141.012371584693</v>
      </c>
      <c r="AA185" s="45">
        <f t="shared" si="219"/>
        <v>192765.86603413912</v>
      </c>
      <c r="AB185" s="46">
        <f t="shared" si="220"/>
        <v>395268.61092585349</v>
      </c>
      <c r="AC185" s="46">
        <f t="shared" si="214"/>
        <v>11106.242736700955</v>
      </c>
      <c r="AD185" s="46">
        <f t="shared" si="214"/>
        <v>0</v>
      </c>
      <c r="AE185" s="46">
        <f t="shared" si="214"/>
        <v>143433.4323715847</v>
      </c>
      <c r="AF185" s="28">
        <f t="shared" si="221"/>
        <v>549808.28603413911</v>
      </c>
    </row>
    <row r="186" spans="1:32">
      <c r="B186" s="42" t="s">
        <v>213</v>
      </c>
      <c r="C186" s="6">
        <v>268500</v>
      </c>
      <c r="D186" s="6">
        <v>240000</v>
      </c>
      <c r="E186" s="373">
        <v>0</v>
      </c>
      <c r="F186" s="6">
        <v>295731.03999999998</v>
      </c>
      <c r="G186" s="374">
        <f t="shared" si="210"/>
        <v>804231.04</v>
      </c>
      <c r="H186" s="43"/>
      <c r="I186" s="44"/>
      <c r="J186" s="44"/>
      <c r="K186" s="44"/>
      <c r="L186" s="28">
        <v>0</v>
      </c>
      <c r="M186" s="28">
        <v>0</v>
      </c>
      <c r="N186" s="28">
        <v>0</v>
      </c>
      <c r="O186" s="28">
        <v>0</v>
      </c>
      <c r="P186" s="45">
        <f t="shared" si="211"/>
        <v>0</v>
      </c>
      <c r="Q186" s="403"/>
      <c r="R186" s="46">
        <f t="shared" si="215"/>
        <v>268500</v>
      </c>
      <c r="S186" s="46">
        <f t="shared" si="212"/>
        <v>240000</v>
      </c>
      <c r="T186" s="46">
        <f t="shared" si="216"/>
        <v>0</v>
      </c>
      <c r="U186" s="46">
        <f t="shared" si="217"/>
        <v>295731.03999999998</v>
      </c>
      <c r="V186" s="45">
        <f t="shared" si="218"/>
        <v>804231.04</v>
      </c>
      <c r="W186" s="47">
        <f t="shared" si="213"/>
        <v>0</v>
      </c>
      <c r="X186" s="47">
        <f t="shared" si="213"/>
        <v>0</v>
      </c>
      <c r="Y186" s="47">
        <v>0</v>
      </c>
      <c r="Z186" s="47">
        <f t="shared" si="222"/>
        <v>0</v>
      </c>
      <c r="AA186" s="45">
        <f t="shared" si="219"/>
        <v>0</v>
      </c>
      <c r="AB186" s="46">
        <f t="shared" si="220"/>
        <v>268500</v>
      </c>
      <c r="AC186" s="46">
        <f t="shared" si="214"/>
        <v>240000</v>
      </c>
      <c r="AD186" s="46">
        <f t="shared" si="214"/>
        <v>0</v>
      </c>
      <c r="AE186" s="46">
        <f t="shared" si="214"/>
        <v>295731.03999999998</v>
      </c>
      <c r="AF186" s="28">
        <f t="shared" si="221"/>
        <v>804231.04</v>
      </c>
    </row>
    <row r="187" spans="1:32">
      <c r="B187" s="42" t="s">
        <v>214</v>
      </c>
      <c r="C187" s="6">
        <v>0</v>
      </c>
      <c r="D187" s="6">
        <v>150000</v>
      </c>
      <c r="E187" s="373">
        <v>0</v>
      </c>
      <c r="F187" s="6">
        <v>59146.22</v>
      </c>
      <c r="G187" s="374">
        <f t="shared" si="210"/>
        <v>209146.22</v>
      </c>
      <c r="H187" s="43"/>
      <c r="I187" s="44"/>
      <c r="J187" s="44"/>
      <c r="K187" s="44"/>
      <c r="L187" s="28">
        <v>0</v>
      </c>
      <c r="M187" s="28">
        <v>0</v>
      </c>
      <c r="N187" s="28">
        <v>0</v>
      </c>
      <c r="O187" s="28">
        <v>0</v>
      </c>
      <c r="P187" s="45">
        <f t="shared" si="211"/>
        <v>0</v>
      </c>
      <c r="Q187" s="403"/>
      <c r="R187" s="46">
        <f t="shared" si="215"/>
        <v>0</v>
      </c>
      <c r="S187" s="46">
        <f t="shared" si="212"/>
        <v>150000</v>
      </c>
      <c r="T187" s="46">
        <f t="shared" si="216"/>
        <v>0</v>
      </c>
      <c r="U187" s="46">
        <f t="shared" si="217"/>
        <v>59146.22</v>
      </c>
      <c r="V187" s="45">
        <f t="shared" si="218"/>
        <v>209146.22</v>
      </c>
      <c r="W187" s="47">
        <f t="shared" si="213"/>
        <v>0</v>
      </c>
      <c r="X187" s="47">
        <f t="shared" si="213"/>
        <v>0</v>
      </c>
      <c r="Y187" s="47">
        <v>0</v>
      </c>
      <c r="Z187" s="47">
        <f t="shared" si="222"/>
        <v>0</v>
      </c>
      <c r="AA187" s="45">
        <f t="shared" si="219"/>
        <v>0</v>
      </c>
      <c r="AB187" s="46">
        <f t="shared" si="220"/>
        <v>0</v>
      </c>
      <c r="AC187" s="46">
        <f t="shared" si="214"/>
        <v>150000</v>
      </c>
      <c r="AD187" s="46">
        <f t="shared" si="214"/>
        <v>0</v>
      </c>
      <c r="AE187" s="46">
        <f t="shared" si="214"/>
        <v>59146.22</v>
      </c>
      <c r="AF187" s="28">
        <f t="shared" si="221"/>
        <v>209146.22</v>
      </c>
    </row>
    <row r="188" spans="1:32">
      <c r="B188" s="50" t="s">
        <v>437</v>
      </c>
      <c r="C188" s="28">
        <v>0</v>
      </c>
      <c r="D188" s="28">
        <v>0</v>
      </c>
      <c r="E188" s="40">
        <v>0</v>
      </c>
      <c r="F188" s="28">
        <v>0</v>
      </c>
      <c r="G188" s="374">
        <f t="shared" si="210"/>
        <v>0</v>
      </c>
      <c r="H188" s="43"/>
      <c r="I188" s="44"/>
      <c r="J188" s="44"/>
      <c r="K188" s="44"/>
      <c r="L188" s="28">
        <v>0</v>
      </c>
      <c r="M188" s="28">
        <v>0</v>
      </c>
      <c r="N188" s="28">
        <v>0</v>
      </c>
      <c r="O188" s="28">
        <v>0</v>
      </c>
      <c r="P188" s="45">
        <f t="shared" si="211"/>
        <v>0</v>
      </c>
      <c r="Q188" s="403"/>
      <c r="R188" s="46">
        <f t="shared" si="215"/>
        <v>0</v>
      </c>
      <c r="S188" s="46">
        <f t="shared" si="212"/>
        <v>0</v>
      </c>
      <c r="T188" s="46">
        <f t="shared" si="216"/>
        <v>0</v>
      </c>
      <c r="U188" s="46">
        <f t="shared" si="217"/>
        <v>0</v>
      </c>
      <c r="V188" s="45">
        <f t="shared" si="218"/>
        <v>0</v>
      </c>
      <c r="W188" s="47">
        <f>+C471*R188/R262</f>
        <v>0</v>
      </c>
      <c r="X188" s="47">
        <v>0</v>
      </c>
      <c r="Y188" s="47">
        <v>0</v>
      </c>
      <c r="Z188" s="47">
        <v>0</v>
      </c>
      <c r="AA188" s="45">
        <f t="shared" si="219"/>
        <v>0</v>
      </c>
      <c r="AB188" s="46">
        <f t="shared" si="220"/>
        <v>0</v>
      </c>
      <c r="AC188" s="46">
        <f t="shared" si="214"/>
        <v>0</v>
      </c>
      <c r="AD188" s="46">
        <f t="shared" si="214"/>
        <v>0</v>
      </c>
      <c r="AE188" s="46">
        <f t="shared" si="214"/>
        <v>0</v>
      </c>
      <c r="AF188" s="28">
        <f t="shared" si="221"/>
        <v>0</v>
      </c>
    </row>
    <row r="189" spans="1:32">
      <c r="B189" s="50" t="s">
        <v>219</v>
      </c>
      <c r="C189" s="28">
        <v>292217.3</v>
      </c>
      <c r="D189" s="28">
        <v>0</v>
      </c>
      <c r="E189" s="40">
        <v>0</v>
      </c>
      <c r="F189" s="28">
        <v>157723.22</v>
      </c>
      <c r="G189" s="374">
        <f t="shared" si="210"/>
        <v>449940.52</v>
      </c>
      <c r="H189" s="43"/>
      <c r="I189" s="44"/>
      <c r="J189" s="44"/>
      <c r="K189" s="44"/>
      <c r="L189" s="28">
        <v>0</v>
      </c>
      <c r="M189" s="28">
        <v>0</v>
      </c>
      <c r="N189" s="28">
        <v>0</v>
      </c>
      <c r="O189" s="28">
        <v>0</v>
      </c>
      <c r="P189" s="45">
        <f t="shared" si="211"/>
        <v>0</v>
      </c>
      <c r="Q189" s="403"/>
      <c r="R189" s="46">
        <f t="shared" si="215"/>
        <v>292217.3</v>
      </c>
      <c r="S189" s="46">
        <f t="shared" si="212"/>
        <v>0</v>
      </c>
      <c r="T189" s="46">
        <f t="shared" si="216"/>
        <v>0</v>
      </c>
      <c r="U189" s="46">
        <f t="shared" si="217"/>
        <v>157723.22</v>
      </c>
      <c r="V189" s="45">
        <f t="shared" si="218"/>
        <v>449940.52</v>
      </c>
      <c r="W189" s="47">
        <f>+C472*R189/R263</f>
        <v>238552.39157377311</v>
      </c>
      <c r="X189" s="47">
        <v>0</v>
      </c>
      <c r="Y189" s="47">
        <v>0</v>
      </c>
      <c r="Z189" s="47">
        <f t="shared" si="222"/>
        <v>30451.654980702722</v>
      </c>
      <c r="AA189" s="45">
        <f t="shared" si="219"/>
        <v>269004.04655447585</v>
      </c>
      <c r="AB189" s="46">
        <f t="shared" si="220"/>
        <v>530769.69157377305</v>
      </c>
      <c r="AC189" s="46">
        <f t="shared" si="214"/>
        <v>0</v>
      </c>
      <c r="AD189" s="46">
        <f t="shared" si="214"/>
        <v>0</v>
      </c>
      <c r="AE189" s="46">
        <f t="shared" si="214"/>
        <v>188174.87498070273</v>
      </c>
      <c r="AF189" s="28">
        <f t="shared" si="221"/>
        <v>718944.56655447581</v>
      </c>
    </row>
    <row r="190" spans="1:32">
      <c r="B190" s="42" t="s">
        <v>216</v>
      </c>
      <c r="C190" s="28">
        <v>0</v>
      </c>
      <c r="D190" s="28">
        <v>0</v>
      </c>
      <c r="E190" s="40">
        <v>0</v>
      </c>
      <c r="F190" s="28">
        <f>SUM(C190:E190)</f>
        <v>0</v>
      </c>
      <c r="G190" s="374">
        <f t="shared" si="210"/>
        <v>0</v>
      </c>
      <c r="H190" s="43"/>
      <c r="I190" s="44"/>
      <c r="J190" s="44"/>
      <c r="K190" s="44"/>
      <c r="L190" s="28">
        <v>0</v>
      </c>
      <c r="M190" s="28">
        <v>0</v>
      </c>
      <c r="N190" s="28">
        <v>0</v>
      </c>
      <c r="O190" s="28">
        <v>0</v>
      </c>
      <c r="P190" s="45">
        <f t="shared" si="211"/>
        <v>0</v>
      </c>
      <c r="Q190" s="403"/>
      <c r="R190" s="46">
        <f t="shared" si="215"/>
        <v>0</v>
      </c>
      <c r="S190" s="46">
        <f t="shared" si="212"/>
        <v>0</v>
      </c>
      <c r="T190" s="46">
        <f t="shared" si="216"/>
        <v>0</v>
      </c>
      <c r="U190" s="46">
        <f t="shared" si="217"/>
        <v>0</v>
      </c>
      <c r="V190" s="45">
        <f t="shared" si="218"/>
        <v>0</v>
      </c>
      <c r="W190" s="47">
        <v>0</v>
      </c>
      <c r="X190" s="47">
        <v>0</v>
      </c>
      <c r="Y190" s="47">
        <v>0</v>
      </c>
      <c r="Z190" s="47">
        <v>0</v>
      </c>
      <c r="AA190" s="45">
        <f t="shared" si="219"/>
        <v>0</v>
      </c>
      <c r="AB190" s="46">
        <f t="shared" si="220"/>
        <v>0</v>
      </c>
      <c r="AC190" s="46">
        <f t="shared" si="214"/>
        <v>0</v>
      </c>
      <c r="AD190" s="46">
        <f t="shared" si="214"/>
        <v>0</v>
      </c>
      <c r="AE190" s="46">
        <f t="shared" si="214"/>
        <v>0</v>
      </c>
      <c r="AF190" s="28">
        <f t="shared" si="221"/>
        <v>0</v>
      </c>
    </row>
    <row r="191" spans="1:32">
      <c r="B191" s="42"/>
      <c r="C191" s="28">
        <f>SUM(C182:C190)</f>
        <v>33018555.370000001</v>
      </c>
      <c r="D191" s="28">
        <f t="shared" ref="D191:F191" si="223">SUM(D182:D190)</f>
        <v>5235492.6500000004</v>
      </c>
      <c r="E191" s="28">
        <f t="shared" si="223"/>
        <v>0</v>
      </c>
      <c r="F191" s="28">
        <f t="shared" si="223"/>
        <v>19715402.929999996</v>
      </c>
      <c r="G191" s="45">
        <f>SUM(G182:G190)</f>
        <v>57969450.950000003</v>
      </c>
      <c r="H191" s="43"/>
      <c r="I191" s="44"/>
      <c r="J191" s="44"/>
      <c r="K191" s="44"/>
      <c r="L191" s="28">
        <f>SUM(L182:L190)</f>
        <v>0</v>
      </c>
      <c r="M191" s="28">
        <f>SUM(M182:M190)</f>
        <v>0</v>
      </c>
      <c r="N191" s="28">
        <f>SUM(N182:N190)</f>
        <v>0</v>
      </c>
      <c r="O191" s="28">
        <f>SUM(O182:O190)</f>
        <v>0</v>
      </c>
      <c r="P191" s="45">
        <f t="shared" si="211"/>
        <v>0</v>
      </c>
      <c r="Q191" s="403">
        <f>SUM(Q182:Q190)</f>
        <v>185929.55</v>
      </c>
      <c r="R191" s="46">
        <f t="shared" ref="R191:Z191" si="224">SUM(R182:R190)</f>
        <v>33018555.370000001</v>
      </c>
      <c r="S191" s="46">
        <f t="shared" si="224"/>
        <v>5235492.6500000004</v>
      </c>
      <c r="T191" s="46">
        <f t="shared" si="216"/>
        <v>185929.55</v>
      </c>
      <c r="U191" s="46">
        <f t="shared" si="224"/>
        <v>19715402.929999996</v>
      </c>
      <c r="V191" s="51">
        <f t="shared" si="224"/>
        <v>58155380.5</v>
      </c>
      <c r="W191" s="46">
        <f t="shared" si="224"/>
        <v>48411667.328574441</v>
      </c>
      <c r="X191" s="28">
        <f t="shared" si="224"/>
        <v>2738999.5669049425</v>
      </c>
      <c r="Y191" s="28">
        <f t="shared" si="224"/>
        <v>0</v>
      </c>
      <c r="Z191" s="28">
        <f t="shared" si="224"/>
        <v>12015451.372924702</v>
      </c>
      <c r="AA191" s="45">
        <f>SUM(W191:Z191)</f>
        <v>63166118.268404081</v>
      </c>
      <c r="AB191" s="46">
        <f>SUM(AB182:AB190)</f>
        <v>81430222.698574439</v>
      </c>
      <c r="AC191" s="28">
        <f>SUM(AC182:AC190)</f>
        <v>7974492.2169049429</v>
      </c>
      <c r="AD191" s="28">
        <f>SUM(AD182:AD190)</f>
        <v>185929.55</v>
      </c>
      <c r="AE191" s="28">
        <f>SUM(AE182:AE190)</f>
        <v>31730854.3029247</v>
      </c>
      <c r="AF191" s="28">
        <f>SUM(AB191:AE191)</f>
        <v>121321498.76840407</v>
      </c>
    </row>
    <row r="192" spans="1:32">
      <c r="B192" s="58"/>
      <c r="C192" s="27">
        <f>48260432.77-15241877.4</f>
        <v>33018555.370000005</v>
      </c>
      <c r="D192" s="27">
        <f>9709018.18-4473525.53</f>
        <v>5235492.6499999994</v>
      </c>
      <c r="E192" s="59">
        <v>0</v>
      </c>
      <c r="F192" s="60">
        <f>15241877.4+4473525.53</f>
        <v>19715402.93</v>
      </c>
      <c r="G192" s="29">
        <f>SUM(C192:F192)</f>
        <v>57969450.950000003</v>
      </c>
      <c r="R192" s="27"/>
      <c r="S192" s="27"/>
      <c r="T192" s="27"/>
      <c r="U192" s="27"/>
      <c r="V192" s="29"/>
    </row>
    <row r="193" spans="1:32">
      <c r="B193" s="58"/>
      <c r="C193" s="27"/>
      <c r="D193" s="27"/>
      <c r="E193" s="59"/>
      <c r="F193" s="60"/>
      <c r="G193" s="29"/>
      <c r="R193" s="27"/>
      <c r="S193" s="27"/>
      <c r="T193" s="27"/>
      <c r="U193" s="27"/>
      <c r="V193" s="29"/>
    </row>
    <row r="194" spans="1:32">
      <c r="A194" s="389" t="s">
        <v>217</v>
      </c>
      <c r="B194" s="636" t="s">
        <v>230</v>
      </c>
      <c r="C194" s="636"/>
      <c r="D194" s="636"/>
      <c r="E194" s="636"/>
      <c r="F194" s="636"/>
      <c r="G194" s="636"/>
      <c r="R194" s="27"/>
      <c r="S194" s="27"/>
      <c r="T194" s="27"/>
      <c r="U194" s="27"/>
      <c r="V194" s="29"/>
    </row>
    <row r="195" spans="1:32">
      <c r="B195" s="55" t="s">
        <v>9</v>
      </c>
      <c r="C195" s="40" t="s">
        <v>206</v>
      </c>
      <c r="D195" s="40" t="s">
        <v>207</v>
      </c>
      <c r="E195" s="40" t="s">
        <v>10</v>
      </c>
      <c r="F195" s="40" t="s">
        <v>11</v>
      </c>
      <c r="G195" s="48" t="s">
        <v>208</v>
      </c>
      <c r="H195" s="43"/>
      <c r="I195" s="44"/>
      <c r="J195" s="44"/>
      <c r="K195" s="44"/>
      <c r="L195" s="28"/>
      <c r="M195" s="28"/>
      <c r="N195" s="28"/>
      <c r="O195" s="28"/>
      <c r="P195" s="45"/>
      <c r="Q195" s="403"/>
      <c r="R195" s="46"/>
      <c r="S195" s="28"/>
      <c r="T195" s="28"/>
      <c r="U195" s="28"/>
      <c r="V195" s="45"/>
      <c r="W195" s="56"/>
      <c r="X195" s="44"/>
      <c r="Y195" s="44"/>
      <c r="Z195" s="44"/>
      <c r="AA195" s="57"/>
      <c r="AB195" s="56"/>
      <c r="AC195" s="44"/>
      <c r="AD195" s="44"/>
      <c r="AE195" s="44"/>
      <c r="AF195" s="44"/>
    </row>
    <row r="196" spans="1:32">
      <c r="B196" s="42" t="s">
        <v>209</v>
      </c>
      <c r="C196" s="6">
        <f>3480420.29+18051621.06</f>
        <v>21532041.349999998</v>
      </c>
      <c r="D196" s="6">
        <f>12711237.06+1590428.93</f>
        <v>14301665.99</v>
      </c>
      <c r="E196" s="373">
        <v>0</v>
      </c>
      <c r="F196" s="6">
        <v>4702108.47</v>
      </c>
      <c r="G196" s="374">
        <f>SUM(C196:F196)</f>
        <v>40535815.809999995</v>
      </c>
      <c r="H196" s="43">
        <f>+F205</f>
        <v>4702108.47</v>
      </c>
      <c r="I196" s="28">
        <f>+C196+D196</f>
        <v>35833707.339999996</v>
      </c>
      <c r="J196" s="28">
        <f>+I196*100/I205</f>
        <v>80.133328841918313</v>
      </c>
      <c r="K196" s="28">
        <f>+H196*J196/100</f>
        <v>3767956.0427687936</v>
      </c>
      <c r="L196" s="28">
        <v>0</v>
      </c>
      <c r="M196" s="28">
        <v>0</v>
      </c>
      <c r="N196" s="28">
        <v>0</v>
      </c>
      <c r="O196" s="28">
        <v>0</v>
      </c>
      <c r="P196" s="45">
        <f t="shared" ref="P196:P205" si="225">SUM(L196:O196)</f>
        <v>0</v>
      </c>
      <c r="Q196" s="403">
        <v>201725.35</v>
      </c>
      <c r="R196" s="46">
        <f>+C196+L196</f>
        <v>21532041.349999998</v>
      </c>
      <c r="S196" s="46">
        <f t="shared" ref="S196:S204" si="226">+D196+M196</f>
        <v>14301665.99</v>
      </c>
      <c r="T196" s="46">
        <f>+E196+N196+Q196</f>
        <v>201725.35</v>
      </c>
      <c r="U196" s="46">
        <f>+K196</f>
        <v>3767956.0427687936</v>
      </c>
      <c r="V196" s="45">
        <f>SUM(R196:U196)</f>
        <v>39803388.732768789</v>
      </c>
      <c r="W196" s="47">
        <f t="shared" ref="W196:X201" si="227">+C465*R196/R256</f>
        <v>35895622.95769576</v>
      </c>
      <c r="X196" s="47">
        <f t="shared" si="227"/>
        <v>6125449.9897629246</v>
      </c>
      <c r="Y196" s="47">
        <v>0</v>
      </c>
      <c r="Z196" s="47">
        <f>+F465*U196/U256</f>
        <v>0</v>
      </c>
      <c r="AA196" s="45">
        <f t="shared" ref="AA196:AA205" si="228">SUM(W196:Z196)</f>
        <v>42021072.947458684</v>
      </c>
      <c r="AB196" s="46">
        <f>+R196+W196</f>
        <v>57427664.307695761</v>
      </c>
      <c r="AC196" s="46">
        <f t="shared" ref="AC196:AE204" si="229">+S196+X196</f>
        <v>20427115.979762927</v>
      </c>
      <c r="AD196" s="46">
        <f t="shared" si="229"/>
        <v>201725.35</v>
      </c>
      <c r="AE196" s="46">
        <f t="shared" si="229"/>
        <v>3767956.0427687936</v>
      </c>
      <c r="AF196" s="28">
        <f>SUM(AB196:AE196)</f>
        <v>81824461.680227473</v>
      </c>
    </row>
    <row r="197" spans="1:32">
      <c r="B197" s="42" t="s">
        <v>210</v>
      </c>
      <c r="C197" s="6"/>
      <c r="D197" s="6"/>
      <c r="E197" s="373">
        <v>0</v>
      </c>
      <c r="F197" s="6">
        <v>0</v>
      </c>
      <c r="G197" s="374">
        <f t="shared" ref="G197:G204" si="230">SUM(C197:F197)</f>
        <v>0</v>
      </c>
      <c r="H197" s="43"/>
      <c r="I197" s="28">
        <f t="shared" ref="I197:I204" si="231">+C197+D197</f>
        <v>0</v>
      </c>
      <c r="J197" s="28">
        <f>+H196*I197/100</f>
        <v>0</v>
      </c>
      <c r="K197" s="28">
        <f>+H196*J197/100</f>
        <v>0</v>
      </c>
      <c r="L197" s="28">
        <v>0</v>
      </c>
      <c r="M197" s="28">
        <v>0</v>
      </c>
      <c r="N197" s="28">
        <v>0</v>
      </c>
      <c r="O197" s="28">
        <v>0</v>
      </c>
      <c r="P197" s="45">
        <f t="shared" si="225"/>
        <v>0</v>
      </c>
      <c r="Q197" s="403"/>
      <c r="R197" s="46">
        <f t="shared" ref="R197:R204" si="232">+C197+L197</f>
        <v>0</v>
      </c>
      <c r="S197" s="46">
        <f t="shared" si="226"/>
        <v>0</v>
      </c>
      <c r="T197" s="46">
        <f t="shared" ref="T197:T204" si="233">+E197+N197+Q197</f>
        <v>0</v>
      </c>
      <c r="U197" s="46">
        <f t="shared" ref="U197:U204" si="234">+K197</f>
        <v>0</v>
      </c>
      <c r="V197" s="45">
        <f t="shared" ref="V197:V204" si="235">SUM(R197:U197)</f>
        <v>0</v>
      </c>
      <c r="W197" s="47">
        <f t="shared" si="227"/>
        <v>0</v>
      </c>
      <c r="X197" s="47">
        <f t="shared" si="227"/>
        <v>0</v>
      </c>
      <c r="Y197" s="47">
        <v>0</v>
      </c>
      <c r="Z197" s="47">
        <f t="shared" ref="Z197:Z203" si="236">+F466*U197/U257</f>
        <v>0</v>
      </c>
      <c r="AA197" s="45">
        <f t="shared" si="228"/>
        <v>0</v>
      </c>
      <c r="AB197" s="46">
        <f t="shared" ref="AB197:AB204" si="237">+R197+W197</f>
        <v>0</v>
      </c>
      <c r="AC197" s="46">
        <f t="shared" si="229"/>
        <v>0</v>
      </c>
      <c r="AD197" s="46">
        <f t="shared" si="229"/>
        <v>0</v>
      </c>
      <c r="AE197" s="46">
        <f t="shared" si="229"/>
        <v>0</v>
      </c>
      <c r="AF197" s="28">
        <f t="shared" ref="AF197:AF205" si="238">SUM(AB197:AE197)</f>
        <v>0</v>
      </c>
    </row>
    <row r="198" spans="1:32">
      <c r="B198" s="42" t="s">
        <v>211</v>
      </c>
      <c r="C198" s="6">
        <v>335500</v>
      </c>
      <c r="D198" s="373">
        <v>10000</v>
      </c>
      <c r="E198" s="373">
        <v>0</v>
      </c>
      <c r="F198" s="373">
        <v>0</v>
      </c>
      <c r="G198" s="374">
        <f t="shared" si="230"/>
        <v>345500</v>
      </c>
      <c r="H198" s="43"/>
      <c r="I198" s="28">
        <f t="shared" si="231"/>
        <v>345500</v>
      </c>
      <c r="J198" s="28">
        <f>+I198*100/I205</f>
        <v>0.77262631109278856</v>
      </c>
      <c r="K198" s="28">
        <f>+H196*J198/100</f>
        <v>36329.727215342558</v>
      </c>
      <c r="L198" s="28">
        <v>0</v>
      </c>
      <c r="M198" s="28">
        <v>0</v>
      </c>
      <c r="N198" s="28">
        <v>0</v>
      </c>
      <c r="O198" s="28">
        <v>0</v>
      </c>
      <c r="P198" s="45">
        <f t="shared" si="225"/>
        <v>0</v>
      </c>
      <c r="Q198" s="403"/>
      <c r="R198" s="46">
        <f t="shared" si="232"/>
        <v>335500</v>
      </c>
      <c r="S198" s="46">
        <f t="shared" si="226"/>
        <v>10000</v>
      </c>
      <c r="T198" s="46">
        <f t="shared" si="233"/>
        <v>0</v>
      </c>
      <c r="U198" s="46">
        <f t="shared" si="234"/>
        <v>36329.727215342558</v>
      </c>
      <c r="V198" s="45">
        <f t="shared" si="235"/>
        <v>381829.72721534257</v>
      </c>
      <c r="W198" s="47">
        <f t="shared" si="227"/>
        <v>43422.248198529953</v>
      </c>
      <c r="X198" s="47">
        <f t="shared" si="227"/>
        <v>0</v>
      </c>
      <c r="Y198" s="47">
        <v>0</v>
      </c>
      <c r="Z198" s="47">
        <f t="shared" si="236"/>
        <v>0</v>
      </c>
      <c r="AA198" s="45">
        <f t="shared" si="228"/>
        <v>43422.248198529953</v>
      </c>
      <c r="AB198" s="46">
        <f t="shared" si="237"/>
        <v>378922.24819852994</v>
      </c>
      <c r="AC198" s="46">
        <f t="shared" si="229"/>
        <v>10000</v>
      </c>
      <c r="AD198" s="46">
        <f t="shared" si="229"/>
        <v>0</v>
      </c>
      <c r="AE198" s="46">
        <f t="shared" si="229"/>
        <v>36329.727215342558</v>
      </c>
      <c r="AF198" s="28">
        <f t="shared" si="238"/>
        <v>425251.97541387251</v>
      </c>
    </row>
    <row r="199" spans="1:32">
      <c r="B199" s="42" t="s">
        <v>212</v>
      </c>
      <c r="C199" s="6">
        <v>230000</v>
      </c>
      <c r="D199" s="6">
        <v>235000</v>
      </c>
      <c r="E199" s="373">
        <v>0</v>
      </c>
      <c r="F199" s="6">
        <v>0</v>
      </c>
      <c r="G199" s="374">
        <f t="shared" si="230"/>
        <v>465000</v>
      </c>
      <c r="H199" s="43"/>
      <c r="I199" s="28">
        <f t="shared" si="231"/>
        <v>465000</v>
      </c>
      <c r="J199" s="28">
        <f>+I199*100/I205</f>
        <v>1.0398588557399324</v>
      </c>
      <c r="K199" s="28">
        <f>+H196*J199/100</f>
        <v>48895.291331792439</v>
      </c>
      <c r="L199" s="28">
        <v>0</v>
      </c>
      <c r="M199" s="28">
        <v>0</v>
      </c>
      <c r="N199" s="28">
        <v>0</v>
      </c>
      <c r="O199" s="28">
        <v>0</v>
      </c>
      <c r="P199" s="45">
        <f t="shared" si="225"/>
        <v>0</v>
      </c>
      <c r="Q199" s="403"/>
      <c r="R199" s="46">
        <f t="shared" si="232"/>
        <v>230000</v>
      </c>
      <c r="S199" s="46">
        <f t="shared" si="226"/>
        <v>235000</v>
      </c>
      <c r="T199" s="46">
        <f t="shared" si="233"/>
        <v>0</v>
      </c>
      <c r="U199" s="46">
        <f t="shared" si="234"/>
        <v>48895.291331792439</v>
      </c>
      <c r="V199" s="45">
        <f t="shared" si="235"/>
        <v>513895.29133179242</v>
      </c>
      <c r="W199" s="47">
        <f t="shared" si="227"/>
        <v>166734.80476956713</v>
      </c>
      <c r="X199" s="47">
        <f t="shared" si="227"/>
        <v>36871.566992158776</v>
      </c>
      <c r="Y199" s="47">
        <v>0</v>
      </c>
      <c r="Z199" s="47">
        <f t="shared" si="236"/>
        <v>10391.850333984472</v>
      </c>
      <c r="AA199" s="45">
        <f t="shared" si="228"/>
        <v>213998.22209571037</v>
      </c>
      <c r="AB199" s="46">
        <f t="shared" si="237"/>
        <v>396734.8047695671</v>
      </c>
      <c r="AC199" s="46">
        <f t="shared" si="229"/>
        <v>271871.56699215877</v>
      </c>
      <c r="AD199" s="46">
        <f t="shared" si="229"/>
        <v>0</v>
      </c>
      <c r="AE199" s="46">
        <f t="shared" si="229"/>
        <v>59287.141665776915</v>
      </c>
      <c r="AF199" s="28">
        <f t="shared" si="238"/>
        <v>727893.51342750282</v>
      </c>
    </row>
    <row r="200" spans="1:32">
      <c r="B200" s="42" t="s">
        <v>213</v>
      </c>
      <c r="C200" s="6">
        <v>2496900</v>
      </c>
      <c r="D200" s="6">
        <v>90000</v>
      </c>
      <c r="E200" s="373">
        <v>0</v>
      </c>
      <c r="F200" s="6">
        <v>0</v>
      </c>
      <c r="G200" s="374">
        <f t="shared" si="230"/>
        <v>2586900</v>
      </c>
      <c r="H200" s="43"/>
      <c r="I200" s="28">
        <f t="shared" si="231"/>
        <v>2586900</v>
      </c>
      <c r="J200" s="28">
        <f>+I200*100/I205</f>
        <v>5.7849696213196369</v>
      </c>
      <c r="K200" s="28">
        <f>+H196*J200/100</f>
        <v>272015.54655099759</v>
      </c>
      <c r="L200" s="28">
        <v>0</v>
      </c>
      <c r="M200" s="28">
        <v>0</v>
      </c>
      <c r="N200" s="28">
        <v>0</v>
      </c>
      <c r="O200" s="28">
        <v>0</v>
      </c>
      <c r="P200" s="45">
        <f t="shared" si="225"/>
        <v>0</v>
      </c>
      <c r="Q200" s="403"/>
      <c r="R200" s="46">
        <f t="shared" si="232"/>
        <v>2496900</v>
      </c>
      <c r="S200" s="46">
        <f t="shared" si="226"/>
        <v>90000</v>
      </c>
      <c r="T200" s="46">
        <f t="shared" si="233"/>
        <v>0</v>
      </c>
      <c r="U200" s="46">
        <f t="shared" si="234"/>
        <v>272015.54655099759</v>
      </c>
      <c r="V200" s="45">
        <f t="shared" si="235"/>
        <v>2858915.5465509975</v>
      </c>
      <c r="W200" s="47">
        <f t="shared" si="227"/>
        <v>0</v>
      </c>
      <c r="X200" s="47">
        <f t="shared" si="227"/>
        <v>0</v>
      </c>
      <c r="Y200" s="47">
        <v>0</v>
      </c>
      <c r="Z200" s="47">
        <f t="shared" si="236"/>
        <v>0</v>
      </c>
      <c r="AA200" s="45">
        <f t="shared" si="228"/>
        <v>0</v>
      </c>
      <c r="AB200" s="46">
        <f t="shared" si="237"/>
        <v>2496900</v>
      </c>
      <c r="AC200" s="46">
        <f t="shared" si="229"/>
        <v>90000</v>
      </c>
      <c r="AD200" s="46">
        <f t="shared" si="229"/>
        <v>0</v>
      </c>
      <c r="AE200" s="46">
        <f t="shared" si="229"/>
        <v>272015.54655099759</v>
      </c>
      <c r="AF200" s="28">
        <f t="shared" si="238"/>
        <v>2858915.5465509975</v>
      </c>
    </row>
    <row r="201" spans="1:32">
      <c r="B201" s="42" t="s">
        <v>214</v>
      </c>
      <c r="C201" s="6">
        <v>5229500</v>
      </c>
      <c r="D201" s="6">
        <v>187000</v>
      </c>
      <c r="E201" s="373">
        <v>0</v>
      </c>
      <c r="F201" s="6">
        <v>0</v>
      </c>
      <c r="G201" s="374">
        <f t="shared" si="230"/>
        <v>5416500</v>
      </c>
      <c r="H201" s="43"/>
      <c r="I201" s="28">
        <f t="shared" si="231"/>
        <v>5416500</v>
      </c>
      <c r="J201" s="28">
        <f>+I201*100/I205</f>
        <v>12.112678477667407</v>
      </c>
      <c r="K201" s="28">
        <f>+H196*J201/100</f>
        <v>569551.28064226615</v>
      </c>
      <c r="L201" s="28">
        <v>0</v>
      </c>
      <c r="M201" s="28">
        <v>0</v>
      </c>
      <c r="N201" s="28">
        <v>0</v>
      </c>
      <c r="O201" s="28">
        <v>0</v>
      </c>
      <c r="P201" s="45">
        <f t="shared" si="225"/>
        <v>0</v>
      </c>
      <c r="Q201" s="403"/>
      <c r="R201" s="46">
        <f t="shared" si="232"/>
        <v>5229500</v>
      </c>
      <c r="S201" s="46">
        <f t="shared" si="226"/>
        <v>187000</v>
      </c>
      <c r="T201" s="46">
        <f t="shared" si="233"/>
        <v>0</v>
      </c>
      <c r="U201" s="46">
        <f t="shared" si="234"/>
        <v>569551.28064226615</v>
      </c>
      <c r="V201" s="45">
        <f t="shared" si="235"/>
        <v>5986051.2806422664</v>
      </c>
      <c r="W201" s="47">
        <f t="shared" si="227"/>
        <v>0</v>
      </c>
      <c r="X201" s="47">
        <f t="shared" si="227"/>
        <v>0</v>
      </c>
      <c r="Y201" s="47">
        <v>0</v>
      </c>
      <c r="Z201" s="47">
        <f t="shared" si="236"/>
        <v>0</v>
      </c>
      <c r="AA201" s="45">
        <f t="shared" si="228"/>
        <v>0</v>
      </c>
      <c r="AB201" s="46">
        <f t="shared" si="237"/>
        <v>5229500</v>
      </c>
      <c r="AC201" s="46">
        <f t="shared" si="229"/>
        <v>187000</v>
      </c>
      <c r="AD201" s="46">
        <f t="shared" si="229"/>
        <v>0</v>
      </c>
      <c r="AE201" s="46">
        <f t="shared" si="229"/>
        <v>569551.28064226615</v>
      </c>
      <c r="AF201" s="28">
        <f t="shared" si="238"/>
        <v>5986051.2806422664</v>
      </c>
    </row>
    <row r="202" spans="1:32">
      <c r="B202" s="50" t="s">
        <v>437</v>
      </c>
      <c r="C202" s="6">
        <v>0</v>
      </c>
      <c r="D202" s="6">
        <v>0</v>
      </c>
      <c r="E202" s="373">
        <v>0</v>
      </c>
      <c r="F202" s="6">
        <v>0</v>
      </c>
      <c r="G202" s="374">
        <f t="shared" si="230"/>
        <v>0</v>
      </c>
      <c r="H202" s="43"/>
      <c r="I202" s="28">
        <f t="shared" si="231"/>
        <v>0</v>
      </c>
      <c r="J202" s="28">
        <f>+I202*100/I205</f>
        <v>0</v>
      </c>
      <c r="K202" s="28">
        <f>+H196*J202/100</f>
        <v>0</v>
      </c>
      <c r="L202" s="28">
        <v>0</v>
      </c>
      <c r="M202" s="28">
        <v>0</v>
      </c>
      <c r="N202" s="28">
        <v>0</v>
      </c>
      <c r="O202" s="28">
        <v>0</v>
      </c>
      <c r="P202" s="45">
        <f t="shared" si="225"/>
        <v>0</v>
      </c>
      <c r="Q202" s="403"/>
      <c r="R202" s="46">
        <f t="shared" si="232"/>
        <v>0</v>
      </c>
      <c r="S202" s="46">
        <f t="shared" si="226"/>
        <v>0</v>
      </c>
      <c r="T202" s="46">
        <f t="shared" si="233"/>
        <v>0</v>
      </c>
      <c r="U202" s="46">
        <f t="shared" si="234"/>
        <v>0</v>
      </c>
      <c r="V202" s="45">
        <f t="shared" si="235"/>
        <v>0</v>
      </c>
      <c r="W202" s="47">
        <f>+C471*R202/R262</f>
        <v>0</v>
      </c>
      <c r="X202" s="47">
        <v>0</v>
      </c>
      <c r="Y202" s="47">
        <v>0</v>
      </c>
      <c r="Z202" s="47">
        <v>0</v>
      </c>
      <c r="AA202" s="45">
        <f t="shared" si="228"/>
        <v>0</v>
      </c>
      <c r="AB202" s="46">
        <f t="shared" si="237"/>
        <v>0</v>
      </c>
      <c r="AC202" s="46">
        <f t="shared" si="229"/>
        <v>0</v>
      </c>
      <c r="AD202" s="46">
        <f t="shared" si="229"/>
        <v>0</v>
      </c>
      <c r="AE202" s="46">
        <f t="shared" si="229"/>
        <v>0</v>
      </c>
      <c r="AF202" s="28">
        <f t="shared" si="238"/>
        <v>0</v>
      </c>
    </row>
    <row r="203" spans="1:32">
      <c r="B203" s="50" t="s">
        <v>219</v>
      </c>
      <c r="C203" s="6">
        <v>70000</v>
      </c>
      <c r="D203" s="6">
        <v>0</v>
      </c>
      <c r="E203" s="373">
        <v>0</v>
      </c>
      <c r="F203" s="6">
        <v>0</v>
      </c>
      <c r="G203" s="374">
        <f t="shared" si="230"/>
        <v>70000</v>
      </c>
      <c r="H203" s="43"/>
      <c r="I203" s="28">
        <f t="shared" si="231"/>
        <v>70000</v>
      </c>
      <c r="J203" s="28">
        <f>+I203*100/I205</f>
        <v>0.15653789226192533</v>
      </c>
      <c r="K203" s="28">
        <f>+H196*J203/100</f>
        <v>7360.5814908074644</v>
      </c>
      <c r="L203" s="28">
        <v>0</v>
      </c>
      <c r="M203" s="28">
        <v>0</v>
      </c>
      <c r="N203" s="28">
        <v>0</v>
      </c>
      <c r="O203" s="28">
        <v>0</v>
      </c>
      <c r="P203" s="45">
        <f t="shared" si="225"/>
        <v>0</v>
      </c>
      <c r="Q203" s="403"/>
      <c r="R203" s="46">
        <f t="shared" si="232"/>
        <v>70000</v>
      </c>
      <c r="S203" s="46">
        <f t="shared" si="226"/>
        <v>0</v>
      </c>
      <c r="T203" s="46">
        <f t="shared" si="233"/>
        <v>0</v>
      </c>
      <c r="U203" s="46">
        <f t="shared" si="234"/>
        <v>7360.5814908074644</v>
      </c>
      <c r="V203" s="45">
        <f t="shared" si="235"/>
        <v>77360.581490807468</v>
      </c>
      <c r="W203" s="47">
        <f>+C472*R203/R263</f>
        <v>57144.691331293936</v>
      </c>
      <c r="X203" s="47">
        <v>0</v>
      </c>
      <c r="Y203" s="47">
        <v>0</v>
      </c>
      <c r="Z203" s="47">
        <f t="shared" si="236"/>
        <v>1421.1090035786449</v>
      </c>
      <c r="AA203" s="45">
        <f t="shared" si="228"/>
        <v>58565.800334872583</v>
      </c>
      <c r="AB203" s="46">
        <f t="shared" si="237"/>
        <v>127144.69133129393</v>
      </c>
      <c r="AC203" s="46">
        <f t="shared" si="229"/>
        <v>0</v>
      </c>
      <c r="AD203" s="46">
        <f t="shared" si="229"/>
        <v>0</v>
      </c>
      <c r="AE203" s="46">
        <f t="shared" si="229"/>
        <v>8781.69049438611</v>
      </c>
      <c r="AF203" s="28">
        <f t="shared" si="238"/>
        <v>135926.38182568003</v>
      </c>
    </row>
    <row r="204" spans="1:32">
      <c r="B204" s="42" t="s">
        <v>216</v>
      </c>
      <c r="C204" s="6">
        <v>0</v>
      </c>
      <c r="D204" s="6">
        <v>0</v>
      </c>
      <c r="E204" s="373">
        <v>0</v>
      </c>
      <c r="F204" s="6">
        <v>0</v>
      </c>
      <c r="G204" s="374">
        <f t="shared" si="230"/>
        <v>0</v>
      </c>
      <c r="H204" s="43"/>
      <c r="I204" s="28">
        <f t="shared" si="231"/>
        <v>0</v>
      </c>
      <c r="J204" s="44"/>
      <c r="K204" s="44"/>
      <c r="L204" s="28">
        <v>0</v>
      </c>
      <c r="M204" s="28">
        <v>0</v>
      </c>
      <c r="N204" s="28">
        <v>0</v>
      </c>
      <c r="O204" s="28">
        <v>0</v>
      </c>
      <c r="P204" s="45">
        <f t="shared" si="225"/>
        <v>0</v>
      </c>
      <c r="Q204" s="403"/>
      <c r="R204" s="46">
        <f t="shared" si="232"/>
        <v>0</v>
      </c>
      <c r="S204" s="46">
        <f t="shared" si="226"/>
        <v>0</v>
      </c>
      <c r="T204" s="46">
        <f t="shared" si="233"/>
        <v>0</v>
      </c>
      <c r="U204" s="46">
        <f t="shared" si="234"/>
        <v>0</v>
      </c>
      <c r="V204" s="45">
        <f t="shared" si="235"/>
        <v>0</v>
      </c>
      <c r="W204" s="47">
        <v>0</v>
      </c>
      <c r="X204" s="47">
        <v>0</v>
      </c>
      <c r="Y204" s="47">
        <v>0</v>
      </c>
      <c r="Z204" s="47">
        <v>0</v>
      </c>
      <c r="AA204" s="45">
        <f t="shared" si="228"/>
        <v>0</v>
      </c>
      <c r="AB204" s="46">
        <f t="shared" si="237"/>
        <v>0</v>
      </c>
      <c r="AC204" s="46">
        <f t="shared" si="229"/>
        <v>0</v>
      </c>
      <c r="AD204" s="46">
        <f t="shared" si="229"/>
        <v>0</v>
      </c>
      <c r="AE204" s="46">
        <f t="shared" si="229"/>
        <v>0</v>
      </c>
      <c r="AF204" s="28">
        <f t="shared" si="238"/>
        <v>0</v>
      </c>
    </row>
    <row r="205" spans="1:32">
      <c r="B205" s="42"/>
      <c r="C205" s="6">
        <f>SUM(C196:C204)</f>
        <v>29893941.349999998</v>
      </c>
      <c r="D205" s="6">
        <f t="shared" ref="D205:F205" si="239">SUM(D196:D204)</f>
        <v>14823665.99</v>
      </c>
      <c r="E205" s="6">
        <f t="shared" si="239"/>
        <v>0</v>
      </c>
      <c r="F205" s="6">
        <f t="shared" si="239"/>
        <v>4702108.47</v>
      </c>
      <c r="G205" s="374">
        <f>SUM(G196:G204)</f>
        <v>49419715.809999995</v>
      </c>
      <c r="H205" s="43"/>
      <c r="I205" s="28">
        <f t="shared" ref="I205:O205" si="240">SUM(I196:I204)</f>
        <v>44717607.339999996</v>
      </c>
      <c r="J205" s="28">
        <f t="shared" si="240"/>
        <v>100</v>
      </c>
      <c r="K205" s="28">
        <f t="shared" si="240"/>
        <v>4702108.47</v>
      </c>
      <c r="L205" s="28">
        <f t="shared" si="240"/>
        <v>0</v>
      </c>
      <c r="M205" s="28">
        <f t="shared" si="240"/>
        <v>0</v>
      </c>
      <c r="N205" s="28">
        <f t="shared" si="240"/>
        <v>0</v>
      </c>
      <c r="O205" s="28">
        <f t="shared" si="240"/>
        <v>0</v>
      </c>
      <c r="P205" s="45">
        <f t="shared" si="225"/>
        <v>0</v>
      </c>
      <c r="Q205" s="403">
        <f>SUM(Q196:Q204)</f>
        <v>201725.35</v>
      </c>
      <c r="R205" s="46">
        <f t="shared" ref="R205:Z205" si="241">SUM(R196:R204)</f>
        <v>29893941.349999998</v>
      </c>
      <c r="S205" s="46">
        <f t="shared" si="241"/>
        <v>14823665.99</v>
      </c>
      <c r="T205" s="46">
        <f t="shared" si="241"/>
        <v>201725.35</v>
      </c>
      <c r="U205" s="46">
        <f t="shared" si="241"/>
        <v>4702108.47</v>
      </c>
      <c r="V205" s="51">
        <f t="shared" si="241"/>
        <v>49621441.159999989</v>
      </c>
      <c r="W205" s="46">
        <f t="shared" si="241"/>
        <v>36162924.701995157</v>
      </c>
      <c r="X205" s="28">
        <f t="shared" si="241"/>
        <v>6162321.5567550836</v>
      </c>
      <c r="Y205" s="28">
        <f t="shared" si="241"/>
        <v>0</v>
      </c>
      <c r="Z205" s="28">
        <f t="shared" si="241"/>
        <v>11812.959337563118</v>
      </c>
      <c r="AA205" s="45">
        <f t="shared" si="228"/>
        <v>42337059.2180878</v>
      </c>
      <c r="AB205" s="46">
        <f>SUM(AB196:AB204)</f>
        <v>66056866.051995158</v>
      </c>
      <c r="AC205" s="46">
        <f t="shared" ref="AC205:AE205" si="242">SUM(AC196:AC204)</f>
        <v>20985987.546755087</v>
      </c>
      <c r="AD205" s="46">
        <f t="shared" si="242"/>
        <v>201725.35</v>
      </c>
      <c r="AE205" s="46">
        <f t="shared" si="242"/>
        <v>4713921.429337563</v>
      </c>
      <c r="AF205" s="28">
        <f t="shared" si="238"/>
        <v>91958500.378087804</v>
      </c>
    </row>
    <row r="206" spans="1:32">
      <c r="B206" s="52"/>
      <c r="C206" s="33">
        <f>33778849.58-3884908.23</f>
        <v>29893941.349999998</v>
      </c>
      <c r="D206" s="33">
        <f>15640866.23-817200.24</f>
        <v>14823665.99</v>
      </c>
      <c r="E206" s="53">
        <v>0</v>
      </c>
      <c r="F206" s="33">
        <f>3884908.23+817200.24</f>
        <v>4702108.47</v>
      </c>
      <c r="G206" s="29">
        <f>SUM(C206:F206)</f>
        <v>49419715.809999995</v>
      </c>
      <c r="R206" s="27"/>
      <c r="S206" s="27"/>
      <c r="T206" s="27"/>
      <c r="U206" s="27"/>
      <c r="V206" s="29"/>
    </row>
    <row r="207" spans="1:32">
      <c r="B207" s="58"/>
      <c r="C207" s="27"/>
      <c r="D207" s="60"/>
      <c r="E207" s="59"/>
      <c r="F207" s="60"/>
      <c r="G207" s="29"/>
      <c r="R207" s="27"/>
      <c r="S207" s="27"/>
      <c r="T207" s="27"/>
      <c r="U207" s="27"/>
      <c r="V207" s="29"/>
    </row>
    <row r="208" spans="1:32">
      <c r="A208" s="389" t="s">
        <v>204</v>
      </c>
      <c r="B208" s="636" t="s">
        <v>231</v>
      </c>
      <c r="C208" s="636"/>
      <c r="D208" s="636"/>
      <c r="E208" s="636"/>
      <c r="F208" s="636"/>
      <c r="G208" s="636"/>
      <c r="R208" s="27"/>
      <c r="S208" s="27"/>
      <c r="T208" s="27"/>
      <c r="U208" s="27"/>
      <c r="V208" s="29"/>
    </row>
    <row r="209" spans="2:32">
      <c r="B209" s="55" t="s">
        <v>9</v>
      </c>
      <c r="C209" s="40" t="s">
        <v>206</v>
      </c>
      <c r="D209" s="40" t="s">
        <v>207</v>
      </c>
      <c r="E209" s="40" t="s">
        <v>10</v>
      </c>
      <c r="F209" s="40" t="s">
        <v>11</v>
      </c>
      <c r="G209" s="48" t="s">
        <v>208</v>
      </c>
      <c r="H209" s="43"/>
      <c r="I209" s="44"/>
      <c r="J209" s="44"/>
      <c r="K209" s="44"/>
      <c r="L209" s="28"/>
      <c r="M209" s="28"/>
      <c r="N209" s="28"/>
      <c r="O209" s="28"/>
      <c r="P209" s="45"/>
      <c r="Q209" s="403"/>
      <c r="R209" s="46"/>
      <c r="S209" s="28"/>
      <c r="T209" s="28"/>
      <c r="U209" s="28"/>
      <c r="V209" s="45"/>
      <c r="W209" s="56"/>
      <c r="X209" s="44"/>
      <c r="Y209" s="44"/>
      <c r="Z209" s="44"/>
      <c r="AA209" s="57"/>
      <c r="AB209" s="56"/>
      <c r="AC209" s="44"/>
      <c r="AD209" s="44"/>
      <c r="AE209" s="44"/>
      <c r="AF209" s="44"/>
    </row>
    <row r="210" spans="2:32">
      <c r="B210" s="42" t="s">
        <v>209</v>
      </c>
      <c r="C210" s="6">
        <v>0</v>
      </c>
      <c r="D210" s="6">
        <v>0</v>
      </c>
      <c r="E210" s="373">
        <v>0</v>
      </c>
      <c r="F210" s="6"/>
      <c r="G210" s="374">
        <f>SUM(C210:F210)</f>
        <v>0</v>
      </c>
      <c r="H210" s="43"/>
      <c r="I210" s="44"/>
      <c r="J210" s="44"/>
      <c r="K210" s="44"/>
      <c r="L210" s="28">
        <v>0</v>
      </c>
      <c r="M210" s="28">
        <v>0</v>
      </c>
      <c r="N210" s="28">
        <v>0</v>
      </c>
      <c r="O210" s="28">
        <v>0</v>
      </c>
      <c r="P210" s="45">
        <f t="shared" ref="P210:P219" si="243">SUM(L210:O210)</f>
        <v>0</v>
      </c>
      <c r="Q210" s="403"/>
      <c r="R210" s="46">
        <f>+C210+L210</f>
        <v>0</v>
      </c>
      <c r="S210" s="46">
        <f t="shared" ref="S210:S218" si="244">+D210+M210</f>
        <v>0</v>
      </c>
      <c r="T210" s="46">
        <f>+E210+N210+Q210</f>
        <v>0</v>
      </c>
      <c r="U210" s="46">
        <f>+K210</f>
        <v>0</v>
      </c>
      <c r="V210" s="45">
        <f>SUM(R210:U210)</f>
        <v>0</v>
      </c>
      <c r="W210" s="47">
        <f t="shared" ref="W210:X215" si="245">+C465*R210/R256</f>
        <v>0</v>
      </c>
      <c r="X210" s="47">
        <f t="shared" si="245"/>
        <v>0</v>
      </c>
      <c r="Y210" s="47">
        <v>0</v>
      </c>
      <c r="Z210" s="47">
        <f>+F465*U210/U256</f>
        <v>0</v>
      </c>
      <c r="AA210" s="45">
        <f t="shared" ref="AA210:AA219" si="246">SUM(W210:Z210)</f>
        <v>0</v>
      </c>
      <c r="AB210" s="46">
        <f>+R210+W210</f>
        <v>0</v>
      </c>
      <c r="AC210" s="46">
        <f t="shared" ref="AC210:AE218" si="247">+S210+X210</f>
        <v>0</v>
      </c>
      <c r="AD210" s="46">
        <f t="shared" si="247"/>
        <v>0</v>
      </c>
      <c r="AE210" s="46">
        <f t="shared" si="247"/>
        <v>0</v>
      </c>
      <c r="AF210" s="28">
        <f>SUM(AB210:AE210)</f>
        <v>0</v>
      </c>
    </row>
    <row r="211" spans="2:32">
      <c r="B211" s="42" t="s">
        <v>210</v>
      </c>
      <c r="C211" s="6">
        <f>30155841.62+29492</f>
        <v>30185333.620000001</v>
      </c>
      <c r="D211" s="6">
        <f>3582760.83+929750+60000+180448</f>
        <v>4752958.83</v>
      </c>
      <c r="E211" s="373">
        <v>0</v>
      </c>
      <c r="F211" s="6">
        <v>7898849.0800000001</v>
      </c>
      <c r="G211" s="374">
        <f t="shared" ref="G211:G218" si="248">SUM(C211:F211)</f>
        <v>42837141.530000001</v>
      </c>
      <c r="H211" s="43">
        <f>+F219</f>
        <v>7898849.0800000001</v>
      </c>
      <c r="I211" s="28">
        <f>+C211+D211</f>
        <v>34938292.450000003</v>
      </c>
      <c r="J211" s="28">
        <f>+I211*100/I219</f>
        <v>75.59562084201562</v>
      </c>
      <c r="K211" s="28">
        <f>+H211*J211/100</f>
        <v>5971184.0013998393</v>
      </c>
      <c r="L211" s="28">
        <v>0</v>
      </c>
      <c r="M211" s="28">
        <v>0</v>
      </c>
      <c r="N211" s="28">
        <v>0</v>
      </c>
      <c r="O211" s="28">
        <v>0</v>
      </c>
      <c r="P211" s="45">
        <f t="shared" si="243"/>
        <v>0</v>
      </c>
      <c r="Q211" s="403">
        <v>684432.87</v>
      </c>
      <c r="R211" s="46">
        <f t="shared" ref="R211:R218" si="249">+C211+L211</f>
        <v>30185333.620000001</v>
      </c>
      <c r="S211" s="46">
        <f t="shared" si="244"/>
        <v>4752958.83</v>
      </c>
      <c r="T211" s="46">
        <f t="shared" ref="T211:T219" si="250">+E211+N211+Q211</f>
        <v>684432.87</v>
      </c>
      <c r="U211" s="46">
        <f t="shared" ref="U211:U218" si="251">+K211</f>
        <v>5971184.0013998393</v>
      </c>
      <c r="V211" s="45">
        <f t="shared" ref="V211:V218" si="252">SUM(R211:U211)</f>
        <v>41593909.321399838</v>
      </c>
      <c r="W211" s="47">
        <f t="shared" si="245"/>
        <v>45334278.41733595</v>
      </c>
      <c r="X211" s="47">
        <f t="shared" si="245"/>
        <v>2701719.9121270897</v>
      </c>
      <c r="Y211" s="47">
        <v>0</v>
      </c>
      <c r="Z211" s="47">
        <f t="shared" ref="Z211:Z217" si="253">+F466*U211/U257</f>
        <v>3773198.1491958597</v>
      </c>
      <c r="AA211" s="45">
        <f t="shared" si="246"/>
        <v>51809196.4786589</v>
      </c>
      <c r="AB211" s="46">
        <f t="shared" ref="AB211:AB218" si="254">+R211+W211</f>
        <v>75519612.037335947</v>
      </c>
      <c r="AC211" s="46">
        <f t="shared" si="247"/>
        <v>7454678.7421270898</v>
      </c>
      <c r="AD211" s="46">
        <f t="shared" si="247"/>
        <v>684432.87</v>
      </c>
      <c r="AE211" s="46">
        <f t="shared" si="247"/>
        <v>9744382.1505956985</v>
      </c>
      <c r="AF211" s="28">
        <f t="shared" ref="AF211:AF218" si="255">SUM(AB211:AE211)</f>
        <v>93403105.800058737</v>
      </c>
    </row>
    <row r="212" spans="2:32" ht="23.25">
      <c r="B212" s="42" t="s">
        <v>211</v>
      </c>
      <c r="C212" s="6">
        <v>271992.65000000002</v>
      </c>
      <c r="D212" s="375">
        <v>855609.4</v>
      </c>
      <c r="E212" s="375">
        <v>0</v>
      </c>
      <c r="F212" s="375"/>
      <c r="G212" s="374">
        <f t="shared" si="248"/>
        <v>1127602.05</v>
      </c>
      <c r="H212" s="43"/>
      <c r="I212" s="28">
        <f t="shared" ref="I212:I218" si="256">+C212+D212</f>
        <v>1127602.05</v>
      </c>
      <c r="J212" s="28">
        <f>+I212*100/I219</f>
        <v>2.4397808551882885</v>
      </c>
      <c r="K212" s="28">
        <f>+H211*J212/100</f>
        <v>192714.60763405624</v>
      </c>
      <c r="L212" s="28">
        <v>0</v>
      </c>
      <c r="M212" s="28">
        <v>0</v>
      </c>
      <c r="N212" s="28">
        <v>0</v>
      </c>
      <c r="O212" s="28">
        <v>0</v>
      </c>
      <c r="P212" s="45">
        <f t="shared" si="243"/>
        <v>0</v>
      </c>
      <c r="Q212" s="403"/>
      <c r="R212" s="46">
        <f t="shared" si="249"/>
        <v>271992.65000000002</v>
      </c>
      <c r="S212" s="46">
        <f t="shared" si="244"/>
        <v>855609.4</v>
      </c>
      <c r="T212" s="46">
        <f t="shared" si="250"/>
        <v>0</v>
      </c>
      <c r="U212" s="46">
        <f t="shared" si="251"/>
        <v>192714.60763405624</v>
      </c>
      <c r="V212" s="45">
        <f t="shared" si="252"/>
        <v>1320316.6576340562</v>
      </c>
      <c r="W212" s="47">
        <f t="shared" si="245"/>
        <v>35202.779005889388</v>
      </c>
      <c r="X212" s="47">
        <f t="shared" si="245"/>
        <v>0</v>
      </c>
      <c r="Y212" s="47">
        <v>0</v>
      </c>
      <c r="Z212" s="47">
        <f t="shared" si="253"/>
        <v>0</v>
      </c>
      <c r="AA212" s="45">
        <f t="shared" si="246"/>
        <v>35202.779005889388</v>
      </c>
      <c r="AB212" s="46">
        <f t="shared" si="254"/>
        <v>307195.4290058894</v>
      </c>
      <c r="AC212" s="46">
        <f t="shared" si="247"/>
        <v>855609.4</v>
      </c>
      <c r="AD212" s="46">
        <f t="shared" si="247"/>
        <v>0</v>
      </c>
      <c r="AE212" s="46">
        <f t="shared" si="247"/>
        <v>192714.60763405624</v>
      </c>
      <c r="AF212" s="28">
        <f t="shared" si="255"/>
        <v>1355519.4366399455</v>
      </c>
    </row>
    <row r="213" spans="2:32">
      <c r="B213" s="42" t="s">
        <v>212</v>
      </c>
      <c r="C213" s="6">
        <v>206710.21</v>
      </c>
      <c r="D213" s="6">
        <v>150000</v>
      </c>
      <c r="E213" s="373">
        <v>0</v>
      </c>
      <c r="F213" s="6"/>
      <c r="G213" s="374">
        <f t="shared" si="248"/>
        <v>356710.20999999996</v>
      </c>
      <c r="H213" s="43"/>
      <c r="I213" s="28">
        <f t="shared" si="256"/>
        <v>356710.20999999996</v>
      </c>
      <c r="J213" s="28">
        <f>+I213*100/I219</f>
        <v>0.77181018002600654</v>
      </c>
      <c r="K213" s="28">
        <f>+H211*J213/100</f>
        <v>60964.121304330562</v>
      </c>
      <c r="L213" s="28">
        <v>0</v>
      </c>
      <c r="M213" s="28">
        <v>0</v>
      </c>
      <c r="N213" s="28">
        <v>0</v>
      </c>
      <c r="O213" s="28">
        <v>0</v>
      </c>
      <c r="P213" s="45">
        <f t="shared" si="243"/>
        <v>0</v>
      </c>
      <c r="Q213" s="403"/>
      <c r="R213" s="46">
        <f t="shared" si="249"/>
        <v>206710.21</v>
      </c>
      <c r="S213" s="46">
        <f t="shared" si="244"/>
        <v>150000</v>
      </c>
      <c r="T213" s="46">
        <f t="shared" si="250"/>
        <v>0</v>
      </c>
      <c r="U213" s="46">
        <f t="shared" si="251"/>
        <v>60964.121304330562</v>
      </c>
      <c r="V213" s="45">
        <f t="shared" si="252"/>
        <v>417674.3313043305</v>
      </c>
      <c r="W213" s="47">
        <f t="shared" si="245"/>
        <v>149851.2456879401</v>
      </c>
      <c r="X213" s="47">
        <f t="shared" si="245"/>
        <v>23535.042760952409</v>
      </c>
      <c r="Y213" s="47">
        <v>0</v>
      </c>
      <c r="Z213" s="47">
        <f t="shared" si="253"/>
        <v>12956.871859878804</v>
      </c>
      <c r="AA213" s="45">
        <f t="shared" si="246"/>
        <v>186343.1603087713</v>
      </c>
      <c r="AB213" s="46">
        <f t="shared" si="254"/>
        <v>356561.45568794012</v>
      </c>
      <c r="AC213" s="46">
        <f t="shared" si="247"/>
        <v>173535.0427609524</v>
      </c>
      <c r="AD213" s="46">
        <f t="shared" si="247"/>
        <v>0</v>
      </c>
      <c r="AE213" s="46">
        <f t="shared" si="247"/>
        <v>73920.993164209358</v>
      </c>
      <c r="AF213" s="28">
        <f t="shared" si="255"/>
        <v>604017.49161310191</v>
      </c>
    </row>
    <row r="214" spans="2:32">
      <c r="B214" s="42" t="s">
        <v>213</v>
      </c>
      <c r="C214" s="6">
        <v>5443100</v>
      </c>
      <c r="D214" s="6">
        <v>201500</v>
      </c>
      <c r="E214" s="373">
        <v>0</v>
      </c>
      <c r="F214" s="6"/>
      <c r="G214" s="374">
        <f t="shared" si="248"/>
        <v>5644600</v>
      </c>
      <c r="H214" s="43"/>
      <c r="I214" s="28">
        <f t="shared" si="256"/>
        <v>5644600</v>
      </c>
      <c r="J214" s="28">
        <f>+I214*100/I219</f>
        <v>12.213162449638871</v>
      </c>
      <c r="K214" s="28">
        <f>+H211*J214/100</f>
        <v>964699.26979220542</v>
      </c>
      <c r="L214" s="28">
        <v>0</v>
      </c>
      <c r="M214" s="28">
        <v>0</v>
      </c>
      <c r="N214" s="28">
        <v>0</v>
      </c>
      <c r="O214" s="28">
        <v>0</v>
      </c>
      <c r="P214" s="45">
        <f t="shared" si="243"/>
        <v>0</v>
      </c>
      <c r="Q214" s="403"/>
      <c r="R214" s="46">
        <f t="shared" si="249"/>
        <v>5443100</v>
      </c>
      <c r="S214" s="46">
        <f t="shared" si="244"/>
        <v>201500</v>
      </c>
      <c r="T214" s="46">
        <f t="shared" si="250"/>
        <v>0</v>
      </c>
      <c r="U214" s="46">
        <f t="shared" si="251"/>
        <v>964699.26979220542</v>
      </c>
      <c r="V214" s="45">
        <f t="shared" si="252"/>
        <v>6609299.2697922057</v>
      </c>
      <c r="W214" s="47">
        <f t="shared" si="245"/>
        <v>0</v>
      </c>
      <c r="X214" s="47">
        <f t="shared" si="245"/>
        <v>0</v>
      </c>
      <c r="Y214" s="47">
        <v>0</v>
      </c>
      <c r="Z214" s="47">
        <f t="shared" si="253"/>
        <v>0</v>
      </c>
      <c r="AA214" s="45">
        <f t="shared" si="246"/>
        <v>0</v>
      </c>
      <c r="AB214" s="46">
        <f t="shared" si="254"/>
        <v>5443100</v>
      </c>
      <c r="AC214" s="46">
        <f t="shared" si="247"/>
        <v>201500</v>
      </c>
      <c r="AD214" s="46">
        <f t="shared" si="247"/>
        <v>0</v>
      </c>
      <c r="AE214" s="46">
        <f t="shared" si="247"/>
        <v>964699.26979220542</v>
      </c>
      <c r="AF214" s="28">
        <f t="shared" si="255"/>
        <v>6609299.2697922057</v>
      </c>
    </row>
    <row r="215" spans="2:32">
      <c r="B215" s="42" t="s">
        <v>214</v>
      </c>
      <c r="C215" s="6">
        <v>3378200</v>
      </c>
      <c r="D215" s="6">
        <v>85000</v>
      </c>
      <c r="E215" s="373">
        <v>0</v>
      </c>
      <c r="F215" s="6"/>
      <c r="G215" s="374">
        <f t="shared" si="248"/>
        <v>3463200</v>
      </c>
      <c r="H215" s="43"/>
      <c r="I215" s="28">
        <f t="shared" si="256"/>
        <v>3463200</v>
      </c>
      <c r="J215" s="28">
        <f>+I215*100/I219</f>
        <v>7.4932899046149135</v>
      </c>
      <c r="K215" s="28">
        <f>+H211*J215/100</f>
        <v>591883.66069240798</v>
      </c>
      <c r="L215" s="28">
        <v>0</v>
      </c>
      <c r="M215" s="28">
        <v>0</v>
      </c>
      <c r="N215" s="28">
        <v>0</v>
      </c>
      <c r="O215" s="28">
        <v>0</v>
      </c>
      <c r="P215" s="45">
        <f t="shared" si="243"/>
        <v>0</v>
      </c>
      <c r="Q215" s="403"/>
      <c r="R215" s="46">
        <f t="shared" si="249"/>
        <v>3378200</v>
      </c>
      <c r="S215" s="46">
        <f t="shared" si="244"/>
        <v>85000</v>
      </c>
      <c r="T215" s="46">
        <f t="shared" si="250"/>
        <v>0</v>
      </c>
      <c r="U215" s="46">
        <f t="shared" si="251"/>
        <v>591883.66069240798</v>
      </c>
      <c r="V215" s="45">
        <f t="shared" si="252"/>
        <v>4055083.6606924077</v>
      </c>
      <c r="W215" s="47">
        <f t="shared" si="245"/>
        <v>0</v>
      </c>
      <c r="X215" s="47">
        <f t="shared" si="245"/>
        <v>0</v>
      </c>
      <c r="Y215" s="47">
        <v>0</v>
      </c>
      <c r="Z215" s="47">
        <f t="shared" si="253"/>
        <v>0</v>
      </c>
      <c r="AA215" s="45">
        <f t="shared" si="246"/>
        <v>0</v>
      </c>
      <c r="AB215" s="46">
        <f t="shared" si="254"/>
        <v>3378200</v>
      </c>
      <c r="AC215" s="46">
        <f t="shared" si="247"/>
        <v>85000</v>
      </c>
      <c r="AD215" s="46">
        <f t="shared" si="247"/>
        <v>0</v>
      </c>
      <c r="AE215" s="46">
        <f t="shared" si="247"/>
        <v>591883.66069240798</v>
      </c>
      <c r="AF215" s="28">
        <f t="shared" si="255"/>
        <v>4055083.6606924077</v>
      </c>
    </row>
    <row r="216" spans="2:32">
      <c r="B216" s="50" t="s">
        <v>437</v>
      </c>
      <c r="C216" s="28">
        <v>243835</v>
      </c>
      <c r="D216" s="28">
        <v>0</v>
      </c>
      <c r="E216" s="40">
        <v>0</v>
      </c>
      <c r="F216" s="28"/>
      <c r="G216" s="374">
        <f t="shared" si="248"/>
        <v>243835</v>
      </c>
      <c r="H216" s="43"/>
      <c r="I216" s="28">
        <f t="shared" si="256"/>
        <v>243835</v>
      </c>
      <c r="J216" s="28">
        <f>+I216*100/I219</f>
        <v>0.52758325938201012</v>
      </c>
      <c r="K216" s="28">
        <f>+H211*J216/100</f>
        <v>41673.005429929915</v>
      </c>
      <c r="L216" s="28">
        <v>0</v>
      </c>
      <c r="M216" s="28">
        <v>0</v>
      </c>
      <c r="N216" s="28">
        <v>0</v>
      </c>
      <c r="O216" s="28">
        <v>0</v>
      </c>
      <c r="P216" s="45">
        <f t="shared" si="243"/>
        <v>0</v>
      </c>
      <c r="Q216" s="403"/>
      <c r="R216" s="46">
        <f t="shared" si="249"/>
        <v>243835</v>
      </c>
      <c r="S216" s="46">
        <f t="shared" si="244"/>
        <v>0</v>
      </c>
      <c r="T216" s="46">
        <f t="shared" si="250"/>
        <v>0</v>
      </c>
      <c r="U216" s="46">
        <f t="shared" si="251"/>
        <v>41673.005429929915</v>
      </c>
      <c r="V216" s="45">
        <f t="shared" si="252"/>
        <v>285508.00542992994</v>
      </c>
      <c r="W216" s="47">
        <f>+C471*R216/R262</f>
        <v>437231.51892607362</v>
      </c>
      <c r="X216" s="47">
        <v>0</v>
      </c>
      <c r="Y216" s="47">
        <v>0</v>
      </c>
      <c r="Z216" s="47">
        <v>0</v>
      </c>
      <c r="AA216" s="45">
        <f t="shared" si="246"/>
        <v>437231.51892607362</v>
      </c>
      <c r="AB216" s="46">
        <f t="shared" si="254"/>
        <v>681066.51892607356</v>
      </c>
      <c r="AC216" s="46">
        <f t="shared" si="247"/>
        <v>0</v>
      </c>
      <c r="AD216" s="46">
        <f t="shared" si="247"/>
        <v>0</v>
      </c>
      <c r="AE216" s="46">
        <f t="shared" si="247"/>
        <v>41673.005429929915</v>
      </c>
      <c r="AF216" s="28">
        <f t="shared" si="255"/>
        <v>722739.5243560035</v>
      </c>
    </row>
    <row r="217" spans="2:32">
      <c r="B217" s="50" t="s">
        <v>219</v>
      </c>
      <c r="C217" s="28">
        <v>443110</v>
      </c>
      <c r="D217" s="28">
        <v>0</v>
      </c>
      <c r="E217" s="40">
        <v>0</v>
      </c>
      <c r="F217" s="28"/>
      <c r="G217" s="374">
        <f t="shared" si="248"/>
        <v>443110</v>
      </c>
      <c r="H217" s="43"/>
      <c r="I217" s="28">
        <f t="shared" si="256"/>
        <v>443110</v>
      </c>
      <c r="J217" s="28">
        <f>+I217*100/I219</f>
        <v>0.95875250913430188</v>
      </c>
      <c r="K217" s="28">
        <f>+H211*J217/100</f>
        <v>75730.413747231723</v>
      </c>
      <c r="L217" s="28">
        <v>0</v>
      </c>
      <c r="M217" s="28">
        <v>0</v>
      </c>
      <c r="N217" s="28">
        <v>0</v>
      </c>
      <c r="O217" s="28">
        <v>0</v>
      </c>
      <c r="P217" s="45">
        <f t="shared" si="243"/>
        <v>0</v>
      </c>
      <c r="Q217" s="403"/>
      <c r="R217" s="46">
        <f t="shared" si="249"/>
        <v>443110</v>
      </c>
      <c r="S217" s="46">
        <f t="shared" si="244"/>
        <v>0</v>
      </c>
      <c r="T217" s="46">
        <f t="shared" si="250"/>
        <v>0</v>
      </c>
      <c r="U217" s="46">
        <f t="shared" si="251"/>
        <v>75730.413747231723</v>
      </c>
      <c r="V217" s="45">
        <f t="shared" si="252"/>
        <v>518840.41374723171</v>
      </c>
      <c r="W217" s="47">
        <f>+C472*R217/R263</f>
        <v>361734.05965442368</v>
      </c>
      <c r="X217" s="47">
        <v>0</v>
      </c>
      <c r="Y217" s="47">
        <v>0</v>
      </c>
      <c r="Z217" s="47">
        <f t="shared" si="253"/>
        <v>14621.286776776222</v>
      </c>
      <c r="AA217" s="45">
        <f t="shared" si="246"/>
        <v>376355.34643119993</v>
      </c>
      <c r="AB217" s="46">
        <f t="shared" si="254"/>
        <v>804844.05965442373</v>
      </c>
      <c r="AC217" s="46">
        <f t="shared" si="247"/>
        <v>0</v>
      </c>
      <c r="AD217" s="46">
        <f t="shared" si="247"/>
        <v>0</v>
      </c>
      <c r="AE217" s="46">
        <f t="shared" si="247"/>
        <v>90351.700524007945</v>
      </c>
      <c r="AF217" s="28">
        <f t="shared" si="255"/>
        <v>895195.76017843164</v>
      </c>
    </row>
    <row r="218" spans="2:32">
      <c r="B218" s="42" t="s">
        <v>216</v>
      </c>
      <c r="C218" s="28">
        <v>0</v>
      </c>
      <c r="D218" s="28">
        <v>0</v>
      </c>
      <c r="E218" s="40">
        <v>0</v>
      </c>
      <c r="F218" s="28"/>
      <c r="G218" s="374">
        <f t="shared" si="248"/>
        <v>0</v>
      </c>
      <c r="H218" s="43"/>
      <c r="I218" s="28">
        <f t="shared" si="256"/>
        <v>0</v>
      </c>
      <c r="J218" s="44"/>
      <c r="K218" s="44"/>
      <c r="L218" s="28">
        <v>0</v>
      </c>
      <c r="M218" s="28">
        <v>0</v>
      </c>
      <c r="N218" s="28">
        <v>0</v>
      </c>
      <c r="O218" s="28">
        <v>0</v>
      </c>
      <c r="P218" s="45">
        <f t="shared" si="243"/>
        <v>0</v>
      </c>
      <c r="Q218" s="403"/>
      <c r="R218" s="46">
        <f t="shared" si="249"/>
        <v>0</v>
      </c>
      <c r="S218" s="46">
        <f t="shared" si="244"/>
        <v>0</v>
      </c>
      <c r="T218" s="46">
        <f t="shared" si="250"/>
        <v>0</v>
      </c>
      <c r="U218" s="46">
        <f t="shared" si="251"/>
        <v>0</v>
      </c>
      <c r="V218" s="45">
        <f t="shared" si="252"/>
        <v>0</v>
      </c>
      <c r="W218" s="47">
        <v>0</v>
      </c>
      <c r="X218" s="47">
        <v>0</v>
      </c>
      <c r="Y218" s="47">
        <v>0</v>
      </c>
      <c r="Z218" s="47">
        <v>0</v>
      </c>
      <c r="AA218" s="45">
        <f t="shared" si="246"/>
        <v>0</v>
      </c>
      <c r="AB218" s="46">
        <f t="shared" si="254"/>
        <v>0</v>
      </c>
      <c r="AC218" s="46">
        <f t="shared" si="247"/>
        <v>0</v>
      </c>
      <c r="AD218" s="46">
        <f t="shared" si="247"/>
        <v>0</v>
      </c>
      <c r="AE218" s="46">
        <f t="shared" si="247"/>
        <v>0</v>
      </c>
      <c r="AF218" s="28">
        <f t="shared" si="255"/>
        <v>0</v>
      </c>
    </row>
    <row r="219" spans="2:32">
      <c r="B219" s="42"/>
      <c r="C219" s="28">
        <f>SUM(C210:C218)</f>
        <v>40172281.480000004</v>
      </c>
      <c r="D219" s="28">
        <f t="shared" ref="D219:F219" si="257">SUM(D210:D218)</f>
        <v>6045068.2300000004</v>
      </c>
      <c r="E219" s="28">
        <f t="shared" si="257"/>
        <v>0</v>
      </c>
      <c r="F219" s="28">
        <f t="shared" si="257"/>
        <v>7898849.0800000001</v>
      </c>
      <c r="G219" s="45">
        <f>SUM(G210:G218)</f>
        <v>54116198.789999999</v>
      </c>
      <c r="H219" s="43"/>
      <c r="I219" s="28">
        <f>SUM(I211:I218)</f>
        <v>46217349.710000001</v>
      </c>
      <c r="J219" s="28">
        <f>SUM(J211:J218)</f>
        <v>100.00000000000001</v>
      </c>
      <c r="K219" s="28">
        <f>SUM(K211:K218)</f>
        <v>7898849.080000001</v>
      </c>
      <c r="L219" s="28">
        <f>SUM(L210:L218)</f>
        <v>0</v>
      </c>
      <c r="M219" s="28">
        <f>SUM(M210:M218)</f>
        <v>0</v>
      </c>
      <c r="N219" s="28">
        <f>SUM(N210:N218)</f>
        <v>0</v>
      </c>
      <c r="O219" s="28">
        <f>SUM(O210:O218)</f>
        <v>0</v>
      </c>
      <c r="P219" s="45">
        <f t="shared" si="243"/>
        <v>0</v>
      </c>
      <c r="Q219" s="403">
        <f>SUM(Q210:Q218)</f>
        <v>684432.87</v>
      </c>
      <c r="R219" s="46">
        <f t="shared" ref="R219:Z219" si="258">SUM(R210:R218)</f>
        <v>40172281.480000004</v>
      </c>
      <c r="S219" s="46">
        <f t="shared" si="258"/>
        <v>6045068.2300000004</v>
      </c>
      <c r="T219" s="46">
        <f t="shared" si="250"/>
        <v>684432.87</v>
      </c>
      <c r="U219" s="46">
        <f t="shared" si="258"/>
        <v>7898849.080000001</v>
      </c>
      <c r="V219" s="51">
        <f t="shared" si="258"/>
        <v>54800631.660000004</v>
      </c>
      <c r="W219" s="46">
        <f t="shared" si="258"/>
        <v>46318298.02061028</v>
      </c>
      <c r="X219" s="28">
        <f t="shared" si="258"/>
        <v>2725254.9548880421</v>
      </c>
      <c r="Y219" s="28">
        <f t="shared" si="258"/>
        <v>0</v>
      </c>
      <c r="Z219" s="28">
        <f t="shared" si="258"/>
        <v>3800776.3078325149</v>
      </c>
      <c r="AA219" s="45">
        <f t="shared" si="246"/>
        <v>52844329.283330835</v>
      </c>
      <c r="AB219" s="46">
        <f>SUM(AB210:AB218)</f>
        <v>86490579.500610277</v>
      </c>
      <c r="AC219" s="46">
        <f t="shared" ref="AC219:AF219" si="259">SUM(AC210:AC218)</f>
        <v>8770323.1848880425</v>
      </c>
      <c r="AD219" s="46">
        <f t="shared" si="259"/>
        <v>684432.87</v>
      </c>
      <c r="AE219" s="46">
        <f t="shared" si="259"/>
        <v>11699625.387832515</v>
      </c>
      <c r="AF219" s="46">
        <f t="shared" si="259"/>
        <v>107644960.94333084</v>
      </c>
    </row>
    <row r="220" spans="2:32">
      <c r="B220" s="58"/>
      <c r="C220" s="27">
        <f>48050732.81-7878451.33</f>
        <v>40172281.480000004</v>
      </c>
      <c r="D220" s="27">
        <f>6065465.98-20397.75</f>
        <v>6045068.2300000004</v>
      </c>
      <c r="E220" s="59">
        <v>0</v>
      </c>
      <c r="F220" s="27">
        <f>7878451.33+20397.75</f>
        <v>7898849.0800000001</v>
      </c>
      <c r="G220" s="29">
        <f>SUM(C220:F220)</f>
        <v>54116198.790000007</v>
      </c>
      <c r="R220" s="27"/>
      <c r="S220" s="27"/>
      <c r="T220" s="27"/>
      <c r="U220" s="27"/>
      <c r="V220" s="29"/>
    </row>
    <row r="221" spans="2:32">
      <c r="B221" s="58"/>
      <c r="C221" s="27"/>
      <c r="D221" s="27"/>
      <c r="E221" s="59"/>
      <c r="F221" s="27"/>
      <c r="G221" s="29"/>
      <c r="R221" s="27"/>
      <c r="S221" s="27"/>
      <c r="T221" s="27"/>
      <c r="U221" s="27"/>
      <c r="V221" s="29"/>
    </row>
    <row r="222" spans="2:32">
      <c r="B222" s="58"/>
      <c r="C222" s="27"/>
      <c r="D222" s="27"/>
      <c r="E222" s="59"/>
      <c r="F222" s="27"/>
      <c r="G222" s="29"/>
      <c r="R222" s="27"/>
      <c r="S222" s="27"/>
      <c r="T222" s="27"/>
      <c r="U222" s="27"/>
      <c r="V222" s="29"/>
    </row>
    <row r="223" spans="2:32">
      <c r="B223" s="58"/>
      <c r="C223" s="27"/>
      <c r="D223" s="27"/>
      <c r="E223" s="59"/>
      <c r="F223" s="27"/>
      <c r="G223" s="33"/>
      <c r="R223" s="27"/>
      <c r="S223" s="27"/>
      <c r="T223" s="27"/>
      <c r="U223" s="27"/>
      <c r="V223" s="29"/>
    </row>
    <row r="224" spans="2:32">
      <c r="B224" s="58"/>
      <c r="C224" s="27"/>
      <c r="D224" s="27"/>
      <c r="E224" s="59"/>
      <c r="F224" s="27"/>
      <c r="G224" s="33"/>
      <c r="R224" s="27"/>
      <c r="S224" s="27"/>
      <c r="T224" s="27"/>
      <c r="U224" s="27"/>
      <c r="V224" s="29"/>
    </row>
    <row r="225" spans="1:32">
      <c r="A225" s="389" t="s">
        <v>217</v>
      </c>
      <c r="B225" s="636" t="s">
        <v>232</v>
      </c>
      <c r="C225" s="636"/>
      <c r="D225" s="636"/>
      <c r="E225" s="636"/>
      <c r="F225" s="636"/>
      <c r="G225" s="636"/>
      <c r="R225" s="27"/>
      <c r="S225" s="27"/>
      <c r="T225" s="27"/>
      <c r="U225" s="27"/>
      <c r="V225" s="29"/>
    </row>
    <row r="226" spans="1:32">
      <c r="B226" s="55" t="s">
        <v>9</v>
      </c>
      <c r="C226" s="40" t="s">
        <v>206</v>
      </c>
      <c r="D226" s="40" t="s">
        <v>207</v>
      </c>
      <c r="E226" s="40" t="s">
        <v>10</v>
      </c>
      <c r="F226" s="40" t="s">
        <v>11</v>
      </c>
      <c r="G226" s="48" t="s">
        <v>208</v>
      </c>
      <c r="H226" s="43"/>
      <c r="I226" s="44"/>
      <c r="J226" s="44"/>
      <c r="K226" s="44"/>
      <c r="L226" s="28"/>
      <c r="M226" s="28"/>
      <c r="N226" s="28"/>
      <c r="O226" s="28"/>
      <c r="P226" s="45"/>
      <c r="Q226" s="403"/>
      <c r="R226" s="46"/>
      <c r="S226" s="28"/>
      <c r="T226" s="28"/>
      <c r="U226" s="28"/>
      <c r="V226" s="45"/>
      <c r="W226" s="56"/>
      <c r="X226" s="44"/>
      <c r="Y226" s="44"/>
      <c r="Z226" s="44"/>
      <c r="AA226" s="57"/>
      <c r="AB226" s="56"/>
      <c r="AC226" s="44"/>
      <c r="AD226" s="44"/>
      <c r="AE226" s="44"/>
      <c r="AF226" s="44"/>
    </row>
    <row r="227" spans="1:32">
      <c r="B227" s="42" t="s">
        <v>209</v>
      </c>
      <c r="C227" s="6">
        <f>13802629.42+40000</f>
        <v>13842629.42</v>
      </c>
      <c r="D227" s="6">
        <f>4242419.05+11620+615570+31392</f>
        <v>4901001.05</v>
      </c>
      <c r="E227" s="373">
        <v>0</v>
      </c>
      <c r="F227" s="6">
        <v>3092353.41</v>
      </c>
      <c r="G227" s="374">
        <f>SUM(C227:F227)</f>
        <v>21835983.879999999</v>
      </c>
      <c r="H227" s="43">
        <f>+F236</f>
        <v>3092353.41</v>
      </c>
      <c r="I227" s="28">
        <f>+C227+D227</f>
        <v>18743630.469999999</v>
      </c>
      <c r="J227" s="28">
        <f>+I227*100/I236</f>
        <v>83.782820870259599</v>
      </c>
      <c r="K227" s="28">
        <f>+H227*J227/100</f>
        <v>2590860.9181756647</v>
      </c>
      <c r="L227" s="28">
        <v>0</v>
      </c>
      <c r="M227" s="28">
        <v>0</v>
      </c>
      <c r="N227" s="28">
        <v>0</v>
      </c>
      <c r="O227" s="28">
        <v>0</v>
      </c>
      <c r="P227" s="45">
        <f t="shared" ref="P227:P236" si="260">SUM(L227:O227)</f>
        <v>0</v>
      </c>
      <c r="Q227" s="403">
        <v>704714.9</v>
      </c>
      <c r="R227" s="46">
        <f>+C227+L227</f>
        <v>13842629.42</v>
      </c>
      <c r="S227" s="46">
        <f t="shared" ref="S227:S235" si="261">+D227+M227</f>
        <v>4901001.05</v>
      </c>
      <c r="T227" s="46">
        <f>+E227+N227+Q227</f>
        <v>704714.9</v>
      </c>
      <c r="U227" s="46">
        <f>+K227</f>
        <v>2590860.9181756647</v>
      </c>
      <c r="V227" s="45">
        <f>SUM(R227:U227)</f>
        <v>22039206.288175661</v>
      </c>
      <c r="W227" s="47">
        <f t="shared" ref="W227:X232" si="262">+C465*R227/R256</f>
        <v>23076762.594245475</v>
      </c>
      <c r="X227" s="47">
        <f t="shared" si="262"/>
        <v>2099114.6662592827</v>
      </c>
      <c r="Y227" s="47">
        <v>0</v>
      </c>
      <c r="Z227" s="47">
        <f t="shared" ref="Z227:Z234" si="263">+F465*U227/U256</f>
        <v>0</v>
      </c>
      <c r="AA227" s="45">
        <f t="shared" ref="AA227:AA236" si="264">SUM(W227:Z227)</f>
        <v>25175877.260504756</v>
      </c>
      <c r="AB227" s="46">
        <f>+R227+W227</f>
        <v>36919392.014245473</v>
      </c>
      <c r="AC227" s="46">
        <f t="shared" ref="AC227:AE235" si="265">+S227+X227</f>
        <v>7000115.7162592821</v>
      </c>
      <c r="AD227" s="46">
        <f t="shared" si="265"/>
        <v>704714.9</v>
      </c>
      <c r="AE227" s="46">
        <f t="shared" si="265"/>
        <v>2590860.9181756647</v>
      </c>
      <c r="AF227" s="28">
        <f>SUM(AB227:AE227)</f>
        <v>47215083.548680417</v>
      </c>
    </row>
    <row r="228" spans="1:32">
      <c r="B228" s="42" t="s">
        <v>210</v>
      </c>
      <c r="C228" s="6"/>
      <c r="D228" s="6"/>
      <c r="E228" s="373">
        <v>0</v>
      </c>
      <c r="F228" s="6"/>
      <c r="G228" s="374">
        <f t="shared" ref="G228:G235" si="266">SUM(C228:F228)</f>
        <v>0</v>
      </c>
      <c r="H228" s="43"/>
      <c r="I228" s="28">
        <f t="shared" ref="I228:I234" si="267">+C228+D228</f>
        <v>0</v>
      </c>
      <c r="J228" s="28">
        <f>+I228*100/I236</f>
        <v>0</v>
      </c>
      <c r="K228" s="28">
        <f>+H227*J228/100</f>
        <v>0</v>
      </c>
      <c r="L228" s="28">
        <v>0</v>
      </c>
      <c r="M228" s="28">
        <v>0</v>
      </c>
      <c r="N228" s="28">
        <v>0</v>
      </c>
      <c r="O228" s="28">
        <v>0</v>
      </c>
      <c r="P228" s="45">
        <f t="shared" si="260"/>
        <v>0</v>
      </c>
      <c r="Q228" s="403"/>
      <c r="R228" s="46">
        <f t="shared" ref="R228:R235" si="268">+C228+L228</f>
        <v>0</v>
      </c>
      <c r="S228" s="46">
        <f t="shared" si="261"/>
        <v>0</v>
      </c>
      <c r="T228" s="46">
        <f t="shared" ref="T228:T235" si="269">+E228+N228+Q228</f>
        <v>0</v>
      </c>
      <c r="U228" s="46">
        <f t="shared" ref="U228:U235" si="270">+K228</f>
        <v>0</v>
      </c>
      <c r="V228" s="45">
        <f t="shared" ref="V228:V235" si="271">SUM(R228:U228)</f>
        <v>0</v>
      </c>
      <c r="W228" s="47">
        <f t="shared" si="262"/>
        <v>0</v>
      </c>
      <c r="X228" s="47">
        <f t="shared" si="262"/>
        <v>0</v>
      </c>
      <c r="Y228" s="47">
        <v>0</v>
      </c>
      <c r="Z228" s="47">
        <f t="shared" si="263"/>
        <v>0</v>
      </c>
      <c r="AA228" s="45">
        <f t="shared" si="264"/>
        <v>0</v>
      </c>
      <c r="AB228" s="46">
        <f t="shared" ref="AB228:AB235" si="272">+R228+W228</f>
        <v>0</v>
      </c>
      <c r="AC228" s="46">
        <f t="shared" si="265"/>
        <v>0</v>
      </c>
      <c r="AD228" s="46">
        <f t="shared" si="265"/>
        <v>0</v>
      </c>
      <c r="AE228" s="46">
        <f t="shared" si="265"/>
        <v>0</v>
      </c>
      <c r="AF228" s="28">
        <f t="shared" ref="AF228:AF235" si="273">SUM(AB228:AE228)</f>
        <v>0</v>
      </c>
    </row>
    <row r="229" spans="1:32" ht="23.25">
      <c r="B229" s="42" t="s">
        <v>211</v>
      </c>
      <c r="C229" s="6">
        <v>270796</v>
      </c>
      <c r="D229" s="373">
        <v>354055.8</v>
      </c>
      <c r="E229" s="375">
        <v>0</v>
      </c>
      <c r="F229" s="373"/>
      <c r="G229" s="374">
        <f t="shared" si="266"/>
        <v>624851.80000000005</v>
      </c>
      <c r="H229" s="43"/>
      <c r="I229" s="28">
        <f t="shared" si="267"/>
        <v>624851.80000000005</v>
      </c>
      <c r="J229" s="28">
        <f>+I229*100/I236</f>
        <v>2.7930472975153187</v>
      </c>
      <c r="K229" s="28">
        <f>+H227*J229/100</f>
        <v>86370.893347627803</v>
      </c>
      <c r="L229" s="28">
        <v>0</v>
      </c>
      <c r="M229" s="28">
        <v>0</v>
      </c>
      <c r="N229" s="28">
        <v>0</v>
      </c>
      <c r="O229" s="28">
        <v>0</v>
      </c>
      <c r="P229" s="45">
        <f t="shared" si="260"/>
        <v>0</v>
      </c>
      <c r="Q229" s="403"/>
      <c r="R229" s="46">
        <f t="shared" si="268"/>
        <v>270796</v>
      </c>
      <c r="S229" s="46">
        <f t="shared" si="261"/>
        <v>354055.8</v>
      </c>
      <c r="T229" s="46">
        <f t="shared" si="269"/>
        <v>0</v>
      </c>
      <c r="U229" s="46">
        <f t="shared" si="270"/>
        <v>86370.893347627803</v>
      </c>
      <c r="V229" s="45">
        <f t="shared" si="271"/>
        <v>711222.69334762788</v>
      </c>
      <c r="W229" s="47">
        <f t="shared" si="262"/>
        <v>35047.902006465323</v>
      </c>
      <c r="X229" s="47">
        <f t="shared" si="262"/>
        <v>0</v>
      </c>
      <c r="Y229" s="47">
        <v>0</v>
      </c>
      <c r="Z229" s="47">
        <f t="shared" si="263"/>
        <v>0</v>
      </c>
      <c r="AA229" s="45">
        <f t="shared" si="264"/>
        <v>35047.902006465323</v>
      </c>
      <c r="AB229" s="46">
        <f t="shared" si="272"/>
        <v>305843.9020064653</v>
      </c>
      <c r="AC229" s="46">
        <f t="shared" si="265"/>
        <v>354055.8</v>
      </c>
      <c r="AD229" s="46">
        <f t="shared" si="265"/>
        <v>0</v>
      </c>
      <c r="AE229" s="46">
        <f t="shared" si="265"/>
        <v>86370.893347627803</v>
      </c>
      <c r="AF229" s="28">
        <f t="shared" si="273"/>
        <v>746270.59535409312</v>
      </c>
    </row>
    <row r="230" spans="1:32">
      <c r="B230" s="42" t="s">
        <v>212</v>
      </c>
      <c r="C230" s="6">
        <v>86000</v>
      </c>
      <c r="D230" s="6">
        <v>73666.8</v>
      </c>
      <c r="E230" s="373">
        <v>0</v>
      </c>
      <c r="F230" s="6"/>
      <c r="G230" s="374">
        <f t="shared" si="266"/>
        <v>159666.79999999999</v>
      </c>
      <c r="H230" s="43"/>
      <c r="I230" s="28">
        <f t="shared" si="267"/>
        <v>159666.79999999999</v>
      </c>
      <c r="J230" s="28">
        <f>+I230*100/I236</f>
        <v>0.71370031140651069</v>
      </c>
      <c r="K230" s="28">
        <f>+H227*J230/100</f>
        <v>22070.135916959855</v>
      </c>
      <c r="L230" s="28">
        <v>0</v>
      </c>
      <c r="M230" s="28">
        <v>0</v>
      </c>
      <c r="N230" s="28">
        <v>0</v>
      </c>
      <c r="O230" s="28">
        <v>0</v>
      </c>
      <c r="P230" s="45">
        <f t="shared" si="260"/>
        <v>0</v>
      </c>
      <c r="Q230" s="403"/>
      <c r="R230" s="46">
        <f t="shared" si="268"/>
        <v>86000</v>
      </c>
      <c r="S230" s="46">
        <f t="shared" si="261"/>
        <v>73666.8</v>
      </c>
      <c r="T230" s="46">
        <f t="shared" si="269"/>
        <v>0</v>
      </c>
      <c r="U230" s="46">
        <f t="shared" si="270"/>
        <v>22070.135916959855</v>
      </c>
      <c r="V230" s="45">
        <f t="shared" si="271"/>
        <v>181736.93591695983</v>
      </c>
      <c r="W230" s="47">
        <f t="shared" si="262"/>
        <v>62344.318305142493</v>
      </c>
      <c r="X230" s="47">
        <f t="shared" si="262"/>
        <v>11558.341920416859</v>
      </c>
      <c r="Y230" s="47">
        <v>0</v>
      </c>
      <c r="Z230" s="47">
        <f t="shared" si="263"/>
        <v>4690.6265010965481</v>
      </c>
      <c r="AA230" s="45">
        <f t="shared" si="264"/>
        <v>78593.28672665589</v>
      </c>
      <c r="AB230" s="46">
        <f t="shared" si="272"/>
        <v>148344.31830514249</v>
      </c>
      <c r="AC230" s="46">
        <f t="shared" si="265"/>
        <v>85225.141920416863</v>
      </c>
      <c r="AD230" s="46">
        <f t="shared" si="265"/>
        <v>0</v>
      </c>
      <c r="AE230" s="46">
        <f t="shared" si="265"/>
        <v>26760.762418056402</v>
      </c>
      <c r="AF230" s="28">
        <f t="shared" si="273"/>
        <v>260330.22264361577</v>
      </c>
    </row>
    <row r="231" spans="1:32">
      <c r="B231" s="42" t="s">
        <v>213</v>
      </c>
      <c r="C231" s="6">
        <v>1118100</v>
      </c>
      <c r="D231" s="6">
        <v>20000</v>
      </c>
      <c r="E231" s="373">
        <v>0</v>
      </c>
      <c r="F231" s="6"/>
      <c r="G231" s="374">
        <f t="shared" si="266"/>
        <v>1138100</v>
      </c>
      <c r="H231" s="43"/>
      <c r="I231" s="28">
        <f t="shared" si="267"/>
        <v>1138100</v>
      </c>
      <c r="J231" s="28">
        <f>+I231*100/I236</f>
        <v>5.0872336917364782</v>
      </c>
      <c r="K231" s="28">
        <f>+H227*J231/100</f>
        <v>157315.24454108189</v>
      </c>
      <c r="L231" s="28">
        <v>0</v>
      </c>
      <c r="M231" s="28">
        <v>0</v>
      </c>
      <c r="N231" s="28">
        <v>0</v>
      </c>
      <c r="O231" s="28">
        <v>0</v>
      </c>
      <c r="P231" s="45">
        <f t="shared" si="260"/>
        <v>0</v>
      </c>
      <c r="Q231" s="403"/>
      <c r="R231" s="46">
        <f t="shared" si="268"/>
        <v>1118100</v>
      </c>
      <c r="S231" s="46">
        <f t="shared" si="261"/>
        <v>20000</v>
      </c>
      <c r="T231" s="46">
        <f t="shared" si="269"/>
        <v>0</v>
      </c>
      <c r="U231" s="46">
        <f t="shared" si="270"/>
        <v>157315.24454108189</v>
      </c>
      <c r="V231" s="45">
        <f t="shared" si="271"/>
        <v>1295415.2445410818</v>
      </c>
      <c r="W231" s="47">
        <f t="shared" si="262"/>
        <v>0</v>
      </c>
      <c r="X231" s="47">
        <f t="shared" si="262"/>
        <v>0</v>
      </c>
      <c r="Y231" s="47">
        <v>0</v>
      </c>
      <c r="Z231" s="47">
        <f t="shared" si="263"/>
        <v>0</v>
      </c>
      <c r="AA231" s="45">
        <f t="shared" si="264"/>
        <v>0</v>
      </c>
      <c r="AB231" s="46">
        <f t="shared" si="272"/>
        <v>1118100</v>
      </c>
      <c r="AC231" s="46">
        <f t="shared" si="265"/>
        <v>20000</v>
      </c>
      <c r="AD231" s="46">
        <f t="shared" si="265"/>
        <v>0</v>
      </c>
      <c r="AE231" s="46">
        <f t="shared" si="265"/>
        <v>157315.24454108189</v>
      </c>
      <c r="AF231" s="28">
        <f t="shared" si="273"/>
        <v>1295415.2445410818</v>
      </c>
    </row>
    <row r="232" spans="1:32">
      <c r="B232" s="42" t="s">
        <v>214</v>
      </c>
      <c r="C232" s="6">
        <v>581300</v>
      </c>
      <c r="D232" s="6">
        <v>180000</v>
      </c>
      <c r="E232" s="373">
        <v>0</v>
      </c>
      <c r="F232" s="6"/>
      <c r="G232" s="374">
        <f t="shared" si="266"/>
        <v>761300</v>
      </c>
      <c r="H232" s="43"/>
      <c r="I232" s="28">
        <f t="shared" si="267"/>
        <v>761300</v>
      </c>
      <c r="J232" s="28">
        <f>+I232*100/I236</f>
        <v>3.4029619624980065</v>
      </c>
      <c r="K232" s="28">
        <f>+H227*J232/100</f>
        <v>105231.61028831004</v>
      </c>
      <c r="L232" s="28">
        <v>0</v>
      </c>
      <c r="M232" s="28">
        <v>0</v>
      </c>
      <c r="N232" s="28">
        <v>0</v>
      </c>
      <c r="O232" s="28">
        <v>0</v>
      </c>
      <c r="P232" s="45">
        <f t="shared" si="260"/>
        <v>0</v>
      </c>
      <c r="Q232" s="403"/>
      <c r="R232" s="46">
        <f t="shared" si="268"/>
        <v>581300</v>
      </c>
      <c r="S232" s="46">
        <f t="shared" si="261"/>
        <v>180000</v>
      </c>
      <c r="T232" s="46">
        <f t="shared" si="269"/>
        <v>0</v>
      </c>
      <c r="U232" s="46">
        <f t="shared" si="270"/>
        <v>105231.61028831004</v>
      </c>
      <c r="V232" s="45">
        <f t="shared" si="271"/>
        <v>866531.6102883101</v>
      </c>
      <c r="W232" s="47">
        <f t="shared" si="262"/>
        <v>0</v>
      </c>
      <c r="X232" s="47">
        <f t="shared" si="262"/>
        <v>0</v>
      </c>
      <c r="Y232" s="47">
        <v>0</v>
      </c>
      <c r="Z232" s="47">
        <f t="shared" si="263"/>
        <v>0</v>
      </c>
      <c r="AA232" s="45">
        <f t="shared" si="264"/>
        <v>0</v>
      </c>
      <c r="AB232" s="46">
        <f t="shared" si="272"/>
        <v>581300</v>
      </c>
      <c r="AC232" s="46">
        <f t="shared" si="265"/>
        <v>180000</v>
      </c>
      <c r="AD232" s="46">
        <f t="shared" si="265"/>
        <v>0</v>
      </c>
      <c r="AE232" s="46">
        <f t="shared" si="265"/>
        <v>105231.61028831004</v>
      </c>
      <c r="AF232" s="28">
        <f t="shared" si="273"/>
        <v>866531.6102883101</v>
      </c>
    </row>
    <row r="233" spans="1:32">
      <c r="B233" s="50" t="s">
        <v>437</v>
      </c>
      <c r="C233" s="28">
        <v>894137.96</v>
      </c>
      <c r="D233" s="28">
        <v>0</v>
      </c>
      <c r="E233" s="40">
        <v>0</v>
      </c>
      <c r="F233" s="28"/>
      <c r="G233" s="374">
        <f t="shared" si="266"/>
        <v>894137.96</v>
      </c>
      <c r="H233" s="43"/>
      <c r="I233" s="28">
        <f t="shared" si="267"/>
        <v>894137.96</v>
      </c>
      <c r="J233" s="28">
        <f>+I233*100/I236</f>
        <v>3.9967390872265387</v>
      </c>
      <c r="K233" s="28">
        <f>+H227*J233/100</f>
        <v>123593.29745265275</v>
      </c>
      <c r="L233" s="28">
        <v>0</v>
      </c>
      <c r="M233" s="28">
        <v>0</v>
      </c>
      <c r="N233" s="28">
        <v>0</v>
      </c>
      <c r="O233" s="28">
        <v>0</v>
      </c>
      <c r="P233" s="45">
        <f t="shared" si="260"/>
        <v>0</v>
      </c>
      <c r="Q233" s="403"/>
      <c r="R233" s="46">
        <f t="shared" si="268"/>
        <v>894137.96</v>
      </c>
      <c r="S233" s="46">
        <f t="shared" si="261"/>
        <v>0</v>
      </c>
      <c r="T233" s="46">
        <f t="shared" si="269"/>
        <v>0</v>
      </c>
      <c r="U233" s="46">
        <f t="shared" si="270"/>
        <v>123593.29745265275</v>
      </c>
      <c r="V233" s="45">
        <f t="shared" si="271"/>
        <v>1017731.2574526527</v>
      </c>
      <c r="W233" s="47">
        <f>+C471*R233/R262</f>
        <v>1603319.0410739265</v>
      </c>
      <c r="X233" s="47">
        <v>0</v>
      </c>
      <c r="Y233" s="47">
        <v>0</v>
      </c>
      <c r="Z233" s="47">
        <v>0</v>
      </c>
      <c r="AA233" s="45">
        <f t="shared" si="264"/>
        <v>1603319.0410739265</v>
      </c>
      <c r="AB233" s="46">
        <f t="shared" si="272"/>
        <v>2497457.0010739267</v>
      </c>
      <c r="AC233" s="46">
        <f t="shared" si="265"/>
        <v>0</v>
      </c>
      <c r="AD233" s="46">
        <f t="shared" si="265"/>
        <v>0</v>
      </c>
      <c r="AE233" s="46">
        <f t="shared" si="265"/>
        <v>123593.29745265275</v>
      </c>
      <c r="AF233" s="28">
        <f t="shared" si="273"/>
        <v>2621050.2985265795</v>
      </c>
    </row>
    <row r="234" spans="1:32">
      <c r="B234" s="50" t="s">
        <v>219</v>
      </c>
      <c r="C234" s="28">
        <v>50000</v>
      </c>
      <c r="D234" s="28">
        <v>0</v>
      </c>
      <c r="E234" s="40">
        <v>0</v>
      </c>
      <c r="F234" s="28"/>
      <c r="G234" s="374">
        <f t="shared" si="266"/>
        <v>50000</v>
      </c>
      <c r="H234" s="43"/>
      <c r="I234" s="28">
        <f t="shared" si="267"/>
        <v>50000</v>
      </c>
      <c r="J234" s="28">
        <f>+I234*100/I236</f>
        <v>0.22349677935754672</v>
      </c>
      <c r="K234" s="28">
        <f>+H227*J234/100</f>
        <v>6911.3102777032727</v>
      </c>
      <c r="L234" s="28">
        <v>0</v>
      </c>
      <c r="M234" s="28">
        <v>0</v>
      </c>
      <c r="N234" s="28">
        <v>0</v>
      </c>
      <c r="O234" s="28">
        <v>0</v>
      </c>
      <c r="P234" s="45">
        <f t="shared" si="260"/>
        <v>0</v>
      </c>
      <c r="Q234" s="403"/>
      <c r="R234" s="46">
        <f t="shared" si="268"/>
        <v>50000</v>
      </c>
      <c r="S234" s="46">
        <f t="shared" si="261"/>
        <v>0</v>
      </c>
      <c r="T234" s="46">
        <f t="shared" si="269"/>
        <v>0</v>
      </c>
      <c r="U234" s="46">
        <f t="shared" si="270"/>
        <v>6911.3102777032727</v>
      </c>
      <c r="V234" s="45">
        <f t="shared" si="271"/>
        <v>56911.310277703276</v>
      </c>
      <c r="W234" s="47">
        <f>+C472*R234/R263</f>
        <v>40817.636665209953</v>
      </c>
      <c r="X234" s="47">
        <v>0</v>
      </c>
      <c r="Y234" s="47">
        <v>0</v>
      </c>
      <c r="Z234" s="47">
        <f t="shared" si="263"/>
        <v>1334.3681167630534</v>
      </c>
      <c r="AA234" s="45">
        <f t="shared" si="264"/>
        <v>42152.00478197301</v>
      </c>
      <c r="AB234" s="46">
        <f t="shared" si="272"/>
        <v>90817.636665209953</v>
      </c>
      <c r="AC234" s="46">
        <f t="shared" si="265"/>
        <v>0</v>
      </c>
      <c r="AD234" s="46">
        <f t="shared" si="265"/>
        <v>0</v>
      </c>
      <c r="AE234" s="46">
        <f t="shared" si="265"/>
        <v>8245.6783944663257</v>
      </c>
      <c r="AF234" s="28">
        <f t="shared" si="273"/>
        <v>99063.315059676272</v>
      </c>
    </row>
    <row r="235" spans="1:32">
      <c r="B235" s="42" t="s">
        <v>216</v>
      </c>
      <c r="C235" s="28">
        <v>0</v>
      </c>
      <c r="D235" s="28">
        <v>0</v>
      </c>
      <c r="E235" s="40">
        <v>0</v>
      </c>
      <c r="F235" s="28"/>
      <c r="G235" s="374">
        <f t="shared" si="266"/>
        <v>0</v>
      </c>
      <c r="H235" s="43"/>
      <c r="I235" s="28">
        <f>+C235+D235</f>
        <v>0</v>
      </c>
      <c r="J235" s="44"/>
      <c r="K235" s="44"/>
      <c r="L235" s="28">
        <v>0</v>
      </c>
      <c r="M235" s="28">
        <v>0</v>
      </c>
      <c r="N235" s="28">
        <v>0</v>
      </c>
      <c r="O235" s="28">
        <v>0</v>
      </c>
      <c r="P235" s="45">
        <f t="shared" si="260"/>
        <v>0</v>
      </c>
      <c r="Q235" s="403"/>
      <c r="R235" s="46">
        <f t="shared" si="268"/>
        <v>0</v>
      </c>
      <c r="S235" s="46">
        <f t="shared" si="261"/>
        <v>0</v>
      </c>
      <c r="T235" s="46">
        <f t="shared" si="269"/>
        <v>0</v>
      </c>
      <c r="U235" s="46">
        <f t="shared" si="270"/>
        <v>0</v>
      </c>
      <c r="V235" s="45">
        <f t="shared" si="271"/>
        <v>0</v>
      </c>
      <c r="W235" s="47">
        <v>0</v>
      </c>
      <c r="X235" s="47">
        <v>0</v>
      </c>
      <c r="Y235" s="47">
        <v>0</v>
      </c>
      <c r="Z235" s="47">
        <v>0</v>
      </c>
      <c r="AA235" s="45">
        <f t="shared" si="264"/>
        <v>0</v>
      </c>
      <c r="AB235" s="46">
        <f t="shared" si="272"/>
        <v>0</v>
      </c>
      <c r="AC235" s="46">
        <f t="shared" si="265"/>
        <v>0</v>
      </c>
      <c r="AD235" s="46">
        <f t="shared" si="265"/>
        <v>0</v>
      </c>
      <c r="AE235" s="46">
        <f t="shared" si="265"/>
        <v>0</v>
      </c>
      <c r="AF235" s="28">
        <f t="shared" si="273"/>
        <v>0</v>
      </c>
    </row>
    <row r="236" spans="1:32">
      <c r="B236" s="42"/>
      <c r="C236" s="28">
        <f>SUM(C227:C235)</f>
        <v>16842963.379999999</v>
      </c>
      <c r="D236" s="28">
        <f>SUM(D227:D235)</f>
        <v>5528723.6499999994</v>
      </c>
      <c r="E236" s="28">
        <f>SUM(E227:E235)</f>
        <v>0</v>
      </c>
      <c r="F236" s="28">
        <f>SUM(F227:F235)</f>
        <v>3092353.41</v>
      </c>
      <c r="G236" s="45">
        <f>SUM(G227:G235)</f>
        <v>25464040.440000001</v>
      </c>
      <c r="H236" s="43"/>
      <c r="I236" s="28">
        <f t="shared" ref="I236:O236" si="274">SUM(I227:I235)</f>
        <v>22371687.030000001</v>
      </c>
      <c r="J236" s="28">
        <f t="shared" si="274"/>
        <v>100</v>
      </c>
      <c r="K236" s="28">
        <f t="shared" si="274"/>
        <v>3092353.4100000006</v>
      </c>
      <c r="L236" s="28">
        <f t="shared" si="274"/>
        <v>0</v>
      </c>
      <c r="M236" s="28">
        <f t="shared" si="274"/>
        <v>0</v>
      </c>
      <c r="N236" s="28">
        <f t="shared" si="274"/>
        <v>0</v>
      </c>
      <c r="O236" s="28">
        <f t="shared" si="274"/>
        <v>0</v>
      </c>
      <c r="P236" s="45">
        <f t="shared" si="260"/>
        <v>0</v>
      </c>
      <c r="Q236" s="403">
        <f>SUM(Q227:Q235)</f>
        <v>704714.9</v>
      </c>
      <c r="R236" s="46">
        <f t="shared" ref="R236:Z236" si="275">SUM(R227:R235)</f>
        <v>16842963.379999999</v>
      </c>
      <c r="S236" s="46">
        <f t="shared" si="275"/>
        <v>5528723.6499999994</v>
      </c>
      <c r="T236" s="46">
        <f t="shared" si="275"/>
        <v>704714.9</v>
      </c>
      <c r="U236" s="46">
        <f>SUM(U227:U235)</f>
        <v>3092353.4100000006</v>
      </c>
      <c r="V236" s="51">
        <f t="shared" si="275"/>
        <v>26168755.34</v>
      </c>
      <c r="W236" s="46">
        <f t="shared" si="275"/>
        <v>24818291.492296219</v>
      </c>
      <c r="X236" s="28">
        <f t="shared" si="275"/>
        <v>2110673.0081796995</v>
      </c>
      <c r="Y236" s="28">
        <f t="shared" si="275"/>
        <v>0</v>
      </c>
      <c r="Z236" s="28">
        <f t="shared" si="275"/>
        <v>6024.9946178596019</v>
      </c>
      <c r="AA236" s="45">
        <f t="shared" si="264"/>
        <v>26934989.495093778</v>
      </c>
      <c r="AB236" s="46">
        <f>SUM(AB227:AB235)</f>
        <v>41661254.872296214</v>
      </c>
      <c r="AC236" s="46">
        <f t="shared" ref="AC236:AF236" si="276">SUM(AC227:AC235)</f>
        <v>7639396.6581796985</v>
      </c>
      <c r="AD236" s="46">
        <f t="shared" si="276"/>
        <v>704714.9</v>
      </c>
      <c r="AE236" s="46">
        <f t="shared" si="276"/>
        <v>3098378.40461786</v>
      </c>
      <c r="AF236" s="46">
        <f t="shared" si="276"/>
        <v>53103744.835093766</v>
      </c>
    </row>
    <row r="237" spans="1:32">
      <c r="B237" s="52"/>
      <c r="C237" s="33">
        <f>19471467-2628503.62</f>
        <v>16842963.379999999</v>
      </c>
      <c r="D237" s="33">
        <f>5995573.44-463849.79</f>
        <v>5531723.6500000004</v>
      </c>
      <c r="E237" s="53">
        <v>0</v>
      </c>
      <c r="F237" s="33">
        <f>2628503.62+463849.79</f>
        <v>3092353.41</v>
      </c>
      <c r="G237" s="29">
        <f>SUM(C237:F237)</f>
        <v>25467040.440000001</v>
      </c>
      <c r="R237" s="27"/>
      <c r="S237" s="27"/>
      <c r="T237" s="27"/>
      <c r="U237" s="27"/>
      <c r="V237" s="29"/>
    </row>
    <row r="238" spans="1:32">
      <c r="B238" s="58"/>
      <c r="C238" s="27"/>
      <c r="D238" s="27"/>
      <c r="E238" s="59"/>
      <c r="F238" s="27"/>
      <c r="G238" s="29"/>
      <c r="R238" s="27"/>
      <c r="S238" s="27"/>
      <c r="T238" s="27"/>
      <c r="U238" s="27"/>
      <c r="V238" s="29"/>
    </row>
    <row r="239" spans="1:32">
      <c r="A239" s="389" t="s">
        <v>204</v>
      </c>
      <c r="B239" s="636" t="s">
        <v>233</v>
      </c>
      <c r="C239" s="636"/>
      <c r="D239" s="636"/>
      <c r="E239" s="636"/>
      <c r="F239" s="636"/>
      <c r="G239" s="636"/>
      <c r="R239" s="27"/>
      <c r="S239" s="27"/>
      <c r="T239" s="27"/>
      <c r="U239" s="27"/>
      <c r="V239" s="29"/>
    </row>
    <row r="240" spans="1:32">
      <c r="B240" s="55" t="s">
        <v>9</v>
      </c>
      <c r="C240" s="40" t="s">
        <v>206</v>
      </c>
      <c r="D240" s="40" t="s">
        <v>207</v>
      </c>
      <c r="E240" s="40" t="s">
        <v>10</v>
      </c>
      <c r="F240" s="40" t="s">
        <v>11</v>
      </c>
      <c r="G240" s="48" t="s">
        <v>208</v>
      </c>
      <c r="H240" s="43"/>
      <c r="I240" s="44"/>
      <c r="J240" s="44"/>
      <c r="K240" s="44"/>
      <c r="L240" s="28"/>
      <c r="M240" s="28"/>
      <c r="N240" s="28"/>
      <c r="O240" s="28"/>
      <c r="P240" s="45"/>
      <c r="Q240" s="403"/>
      <c r="R240" s="46"/>
      <c r="S240" s="28"/>
      <c r="T240" s="28"/>
      <c r="U240" s="28"/>
      <c r="V240" s="45"/>
      <c r="W240" s="56"/>
      <c r="X240" s="44"/>
      <c r="Y240" s="44"/>
      <c r="Z240" s="44"/>
      <c r="AA240" s="57"/>
      <c r="AB240" s="56"/>
      <c r="AC240" s="44"/>
      <c r="AD240" s="44"/>
      <c r="AE240" s="44"/>
      <c r="AF240" s="44"/>
    </row>
    <row r="241" spans="2:33">
      <c r="B241" s="42" t="s">
        <v>209</v>
      </c>
      <c r="C241" s="6"/>
      <c r="D241" s="6"/>
      <c r="E241" s="373">
        <v>0</v>
      </c>
      <c r="F241" s="6"/>
      <c r="G241" s="374">
        <f>SUM(C241:F241)</f>
        <v>0</v>
      </c>
      <c r="H241" s="43"/>
      <c r="I241" s="44"/>
      <c r="J241" s="44"/>
      <c r="K241" s="44"/>
      <c r="L241" s="28">
        <v>0</v>
      </c>
      <c r="M241" s="28">
        <v>0</v>
      </c>
      <c r="N241" s="28">
        <v>0</v>
      </c>
      <c r="O241" s="28">
        <v>0</v>
      </c>
      <c r="P241" s="45">
        <f t="shared" ref="P241:P250" si="277">SUM(L241:O241)</f>
        <v>0</v>
      </c>
      <c r="Q241" s="403"/>
      <c r="R241" s="46">
        <f>+C241+L241</f>
        <v>0</v>
      </c>
      <c r="S241" s="46">
        <f t="shared" ref="S241:S249" si="278">+D241+M241</f>
        <v>0</v>
      </c>
      <c r="T241" s="46">
        <f>+E241+N241+Q241</f>
        <v>0</v>
      </c>
      <c r="U241" s="46">
        <f>+K241</f>
        <v>0</v>
      </c>
      <c r="V241" s="45">
        <f>SUM(R241:U241)</f>
        <v>0</v>
      </c>
      <c r="W241" s="47">
        <f t="shared" ref="W241:X246" si="279">+C465*R241/R256</f>
        <v>0</v>
      </c>
      <c r="X241" s="47">
        <f t="shared" si="279"/>
        <v>0</v>
      </c>
      <c r="Y241" s="47">
        <v>0</v>
      </c>
      <c r="Z241" s="47">
        <f>+F465*U241/U256</f>
        <v>0</v>
      </c>
      <c r="AA241" s="45">
        <f t="shared" ref="AA241:AA250" si="280">SUM(W241:Z241)</f>
        <v>0</v>
      </c>
      <c r="AB241" s="46">
        <f>+R241+W241</f>
        <v>0</v>
      </c>
      <c r="AC241" s="46">
        <f t="shared" ref="AC241:AE249" si="281">+S241+X241</f>
        <v>0</v>
      </c>
      <c r="AD241" s="46">
        <f t="shared" si="281"/>
        <v>0</v>
      </c>
      <c r="AE241" s="46">
        <f t="shared" si="281"/>
        <v>0</v>
      </c>
      <c r="AF241" s="28">
        <f>SUM(AB241:AE241)</f>
        <v>0</v>
      </c>
    </row>
    <row r="242" spans="2:33">
      <c r="B242" s="42" t="s">
        <v>210</v>
      </c>
      <c r="C242" s="6">
        <f>13440905.72+2926527.76+18201119.3</f>
        <v>34568552.780000001</v>
      </c>
      <c r="D242" s="6">
        <f>2723034+1740890.75</f>
        <v>4463924.75</v>
      </c>
      <c r="E242" s="373">
        <v>0</v>
      </c>
      <c r="F242" s="6">
        <v>21103188.899999999</v>
      </c>
      <c r="G242" s="374">
        <f>SUM(C242:F242)</f>
        <v>60135666.43</v>
      </c>
      <c r="H242" s="43">
        <f>+F250</f>
        <v>21103188.899999999</v>
      </c>
      <c r="I242" s="28">
        <f>+C242+D242</f>
        <v>39032477.530000001</v>
      </c>
      <c r="J242" s="28">
        <f>+I242*100/I250</f>
        <v>95.649172296087556</v>
      </c>
      <c r="K242" s="28">
        <f>+H242*J242/100</f>
        <v>20185025.510929823</v>
      </c>
      <c r="L242" s="28">
        <v>0</v>
      </c>
      <c r="M242" s="28">
        <v>0</v>
      </c>
      <c r="N242" s="28">
        <v>0</v>
      </c>
      <c r="O242" s="28">
        <v>0</v>
      </c>
      <c r="P242" s="45">
        <f t="shared" si="277"/>
        <v>0</v>
      </c>
      <c r="Q242" s="403">
        <v>303446.03999999998</v>
      </c>
      <c r="R242" s="46">
        <f t="shared" ref="R242:R249" si="282">+C242+L242</f>
        <v>34568552.780000001</v>
      </c>
      <c r="S242" s="46">
        <f t="shared" si="278"/>
        <v>4463924.75</v>
      </c>
      <c r="T242" s="46">
        <f t="shared" ref="T242:T249" si="283">+E242+N242+Q242</f>
        <v>303446.03999999998</v>
      </c>
      <c r="U242" s="46">
        <f t="shared" ref="U242:U249" si="284">+K242</f>
        <v>20185025.510929823</v>
      </c>
      <c r="V242" s="45">
        <f t="shared" ref="V242:V249" si="285">SUM(R242:U242)</f>
        <v>59520949.080929823</v>
      </c>
      <c r="W242" s="47">
        <f t="shared" si="279"/>
        <v>51917279.296676286</v>
      </c>
      <c r="X242" s="47">
        <f t="shared" si="279"/>
        <v>2537424.5422007875</v>
      </c>
      <c r="Y242" s="47">
        <v>0</v>
      </c>
      <c r="Z242" s="47">
        <f t="shared" ref="Z242:Z248" si="286">+F466*U242/U257</f>
        <v>12754941.211233273</v>
      </c>
      <c r="AA242" s="45">
        <f t="shared" si="280"/>
        <v>67209645.05011034</v>
      </c>
      <c r="AB242" s="46">
        <f t="shared" ref="AB242:AB249" si="287">+R242+W242</f>
        <v>86485832.076676279</v>
      </c>
      <c r="AC242" s="46">
        <f t="shared" si="281"/>
        <v>7001349.292200787</v>
      </c>
      <c r="AD242" s="46">
        <f t="shared" si="281"/>
        <v>303446.03999999998</v>
      </c>
      <c r="AE242" s="46">
        <f t="shared" si="281"/>
        <v>32939966.722163096</v>
      </c>
      <c r="AF242" s="28">
        <f t="shared" ref="AF242:AF249" si="288">SUM(AB242:AE242)</f>
        <v>126730594.13104017</v>
      </c>
    </row>
    <row r="243" spans="2:33" ht="23.25">
      <c r="B243" s="42" t="s">
        <v>211</v>
      </c>
      <c r="C243" s="6">
        <v>79681</v>
      </c>
      <c r="D243" s="375">
        <v>7350</v>
      </c>
      <c r="E243" s="375">
        <v>0</v>
      </c>
      <c r="F243" s="375">
        <v>0</v>
      </c>
      <c r="G243" s="374">
        <f t="shared" ref="G243:G249" si="289">SUM(C243:F243)</f>
        <v>87031</v>
      </c>
      <c r="H243" s="43"/>
      <c r="I243" s="28">
        <f t="shared" ref="I243:I249" si="290">+C243+D243</f>
        <v>87031</v>
      </c>
      <c r="J243" s="28">
        <f>+I243*100/I250</f>
        <v>0.21326965749747004</v>
      </c>
      <c r="K243" s="28">
        <f>+H242*J243/100</f>
        <v>45006.69868807411</v>
      </c>
      <c r="L243" s="28">
        <v>0</v>
      </c>
      <c r="M243" s="28">
        <v>0</v>
      </c>
      <c r="N243" s="28">
        <v>0</v>
      </c>
      <c r="O243" s="28">
        <v>0</v>
      </c>
      <c r="P243" s="45">
        <f t="shared" si="277"/>
        <v>0</v>
      </c>
      <c r="Q243" s="403"/>
      <c r="R243" s="46">
        <f t="shared" si="282"/>
        <v>79681</v>
      </c>
      <c r="S243" s="46">
        <f t="shared" si="278"/>
        <v>7350</v>
      </c>
      <c r="T243" s="46">
        <f t="shared" si="283"/>
        <v>0</v>
      </c>
      <c r="U243" s="46">
        <f t="shared" si="284"/>
        <v>45006.69868807411</v>
      </c>
      <c r="V243" s="45">
        <f t="shared" si="285"/>
        <v>132037.6986880741</v>
      </c>
      <c r="W243" s="47">
        <f t="shared" si="279"/>
        <v>10312.751590781118</v>
      </c>
      <c r="X243" s="47">
        <f t="shared" si="279"/>
        <v>0</v>
      </c>
      <c r="Y243" s="47">
        <v>0</v>
      </c>
      <c r="Z243" s="47">
        <f t="shared" si="286"/>
        <v>0</v>
      </c>
      <c r="AA243" s="45">
        <f t="shared" si="280"/>
        <v>10312.751590781118</v>
      </c>
      <c r="AB243" s="46">
        <f t="shared" si="287"/>
        <v>89993.751590781118</v>
      </c>
      <c r="AC243" s="46">
        <f t="shared" si="281"/>
        <v>7350</v>
      </c>
      <c r="AD243" s="46">
        <f t="shared" si="281"/>
        <v>0</v>
      </c>
      <c r="AE243" s="46">
        <f t="shared" si="281"/>
        <v>45006.69868807411</v>
      </c>
      <c r="AF243" s="28">
        <f t="shared" si="288"/>
        <v>142350.45027885522</v>
      </c>
    </row>
    <row r="244" spans="2:33">
      <c r="B244" s="42" t="s">
        <v>212</v>
      </c>
      <c r="C244" s="6">
        <v>526975.6</v>
      </c>
      <c r="D244" s="6">
        <v>48000</v>
      </c>
      <c r="E244" s="373">
        <v>0</v>
      </c>
      <c r="F244" s="6">
        <v>0</v>
      </c>
      <c r="G244" s="374">
        <f t="shared" si="289"/>
        <v>574975.6</v>
      </c>
      <c r="H244" s="43"/>
      <c r="I244" s="28">
        <f t="shared" si="290"/>
        <v>574975.6</v>
      </c>
      <c r="J244" s="28">
        <f>+I244*100/I250</f>
        <v>1.4089789762429747</v>
      </c>
      <c r="K244" s="28">
        <f>+H242*J244/100</f>
        <v>297339.49491784105</v>
      </c>
      <c r="L244" s="28">
        <v>0</v>
      </c>
      <c r="M244" s="28">
        <v>0</v>
      </c>
      <c r="N244" s="28">
        <v>0</v>
      </c>
      <c r="O244" s="28">
        <v>0</v>
      </c>
      <c r="P244" s="45">
        <f t="shared" si="277"/>
        <v>0</v>
      </c>
      <c r="Q244" s="403"/>
      <c r="R244" s="46">
        <f t="shared" si="282"/>
        <v>526975.6</v>
      </c>
      <c r="S244" s="46">
        <f t="shared" si="278"/>
        <v>48000</v>
      </c>
      <c r="T244" s="46">
        <f t="shared" si="283"/>
        <v>0</v>
      </c>
      <c r="U244" s="46">
        <f t="shared" si="284"/>
        <v>297339.49491784105</v>
      </c>
      <c r="V244" s="45">
        <f t="shared" si="285"/>
        <v>872315.09491784102</v>
      </c>
      <c r="W244" s="47">
        <f t="shared" si="279"/>
        <v>382022.49471445865</v>
      </c>
      <c r="X244" s="47">
        <f t="shared" si="279"/>
        <v>7531.2136835047704</v>
      </c>
      <c r="Y244" s="47">
        <v>0</v>
      </c>
      <c r="Z244" s="47">
        <f t="shared" si="286"/>
        <v>63194.378137586376</v>
      </c>
      <c r="AA244" s="45">
        <f t="shared" si="280"/>
        <v>452748.08653554984</v>
      </c>
      <c r="AB244" s="46">
        <f t="shared" si="287"/>
        <v>908998.09471445857</v>
      </c>
      <c r="AC244" s="46">
        <f t="shared" si="281"/>
        <v>55531.213683504771</v>
      </c>
      <c r="AD244" s="46">
        <f t="shared" si="281"/>
        <v>0</v>
      </c>
      <c r="AE244" s="46">
        <f t="shared" si="281"/>
        <v>360533.87305542745</v>
      </c>
      <c r="AF244" s="28">
        <f t="shared" si="288"/>
        <v>1325063.1814533907</v>
      </c>
    </row>
    <row r="245" spans="2:33">
      <c r="B245" s="42" t="s">
        <v>213</v>
      </c>
      <c r="C245" s="6">
        <v>0</v>
      </c>
      <c r="D245" s="6">
        <v>45000</v>
      </c>
      <c r="E245" s="373">
        <v>0</v>
      </c>
      <c r="F245" s="6">
        <v>0</v>
      </c>
      <c r="G245" s="374">
        <f t="shared" si="289"/>
        <v>45000</v>
      </c>
      <c r="H245" s="43"/>
      <c r="I245" s="28">
        <f t="shared" si="290"/>
        <v>45000</v>
      </c>
      <c r="J245" s="28">
        <f>+I245*100/I250</f>
        <v>0.11027259927366286</v>
      </c>
      <c r="K245" s="28">
        <f>+H242*J245/100</f>
        <v>23271.034929661098</v>
      </c>
      <c r="L245" s="28">
        <v>0</v>
      </c>
      <c r="M245" s="28">
        <v>0</v>
      </c>
      <c r="N245" s="28">
        <v>0</v>
      </c>
      <c r="O245" s="28">
        <v>0</v>
      </c>
      <c r="P245" s="45">
        <f t="shared" si="277"/>
        <v>0</v>
      </c>
      <c r="Q245" s="403"/>
      <c r="R245" s="46">
        <f t="shared" si="282"/>
        <v>0</v>
      </c>
      <c r="S245" s="46">
        <f t="shared" si="278"/>
        <v>45000</v>
      </c>
      <c r="T245" s="46">
        <f t="shared" si="283"/>
        <v>0</v>
      </c>
      <c r="U245" s="46">
        <f t="shared" si="284"/>
        <v>23271.034929661098</v>
      </c>
      <c r="V245" s="45">
        <f t="shared" si="285"/>
        <v>68271.034929661095</v>
      </c>
      <c r="W245" s="47">
        <f t="shared" si="279"/>
        <v>0</v>
      </c>
      <c r="X245" s="47">
        <f t="shared" si="279"/>
        <v>0</v>
      </c>
      <c r="Y245" s="47">
        <v>0</v>
      </c>
      <c r="Z245" s="47">
        <f t="shared" si="286"/>
        <v>0</v>
      </c>
      <c r="AA245" s="45">
        <f t="shared" si="280"/>
        <v>0</v>
      </c>
      <c r="AB245" s="46">
        <f t="shared" si="287"/>
        <v>0</v>
      </c>
      <c r="AC245" s="46">
        <f t="shared" si="281"/>
        <v>45000</v>
      </c>
      <c r="AD245" s="46">
        <f t="shared" si="281"/>
        <v>0</v>
      </c>
      <c r="AE245" s="46">
        <f t="shared" si="281"/>
        <v>23271.034929661098</v>
      </c>
      <c r="AF245" s="28">
        <f t="shared" si="288"/>
        <v>68271.034929661095</v>
      </c>
    </row>
    <row r="246" spans="2:33">
      <c r="B246" s="42" t="s">
        <v>214</v>
      </c>
      <c r="C246" s="6">
        <v>527500</v>
      </c>
      <c r="D246" s="6">
        <v>105000</v>
      </c>
      <c r="E246" s="373">
        <v>0</v>
      </c>
      <c r="F246" s="6">
        <v>0</v>
      </c>
      <c r="G246" s="374">
        <f t="shared" si="289"/>
        <v>632500</v>
      </c>
      <c r="H246" s="43"/>
      <c r="I246" s="28">
        <f t="shared" si="290"/>
        <v>632500</v>
      </c>
      <c r="J246" s="28">
        <f>+I246*100/I250</f>
        <v>1.5499426453464835</v>
      </c>
      <c r="K246" s="28">
        <f>+H242*J246/100</f>
        <v>327087.32428912545</v>
      </c>
      <c r="L246" s="28">
        <v>0</v>
      </c>
      <c r="M246" s="28">
        <v>0</v>
      </c>
      <c r="N246" s="28">
        <v>0</v>
      </c>
      <c r="O246" s="28">
        <v>0</v>
      </c>
      <c r="P246" s="45">
        <f t="shared" si="277"/>
        <v>0</v>
      </c>
      <c r="Q246" s="403"/>
      <c r="R246" s="46">
        <f t="shared" si="282"/>
        <v>527500</v>
      </c>
      <c r="S246" s="46">
        <f t="shared" si="278"/>
        <v>105000</v>
      </c>
      <c r="T246" s="46">
        <f t="shared" si="283"/>
        <v>0</v>
      </c>
      <c r="U246" s="46">
        <f t="shared" si="284"/>
        <v>327087.32428912545</v>
      </c>
      <c r="V246" s="45">
        <f t="shared" si="285"/>
        <v>959587.32428912539</v>
      </c>
      <c r="W246" s="47">
        <f t="shared" si="279"/>
        <v>0</v>
      </c>
      <c r="X246" s="47">
        <f t="shared" si="279"/>
        <v>0</v>
      </c>
      <c r="Y246" s="47">
        <v>0</v>
      </c>
      <c r="Z246" s="47">
        <f t="shared" si="286"/>
        <v>0</v>
      </c>
      <c r="AA246" s="45">
        <f t="shared" si="280"/>
        <v>0</v>
      </c>
      <c r="AB246" s="46">
        <f t="shared" si="287"/>
        <v>527500</v>
      </c>
      <c r="AC246" s="46">
        <f t="shared" si="281"/>
        <v>105000</v>
      </c>
      <c r="AD246" s="46">
        <f t="shared" si="281"/>
        <v>0</v>
      </c>
      <c r="AE246" s="46">
        <f t="shared" si="281"/>
        <v>327087.32428912545</v>
      </c>
      <c r="AF246" s="28">
        <f t="shared" si="288"/>
        <v>959587.32428912539</v>
      </c>
    </row>
    <row r="247" spans="2:33">
      <c r="B247" s="50" t="s">
        <v>437</v>
      </c>
      <c r="C247" s="28">
        <v>0</v>
      </c>
      <c r="D247" s="28">
        <v>0</v>
      </c>
      <c r="E247" s="40">
        <v>0</v>
      </c>
      <c r="F247" s="28">
        <v>0</v>
      </c>
      <c r="G247" s="374">
        <f t="shared" si="289"/>
        <v>0</v>
      </c>
      <c r="H247" s="43"/>
      <c r="I247" s="28">
        <f t="shared" si="290"/>
        <v>0</v>
      </c>
      <c r="J247" s="28">
        <f>+I247*100/I250</f>
        <v>0</v>
      </c>
      <c r="K247" s="28">
        <f>+H242*J247/100</f>
        <v>0</v>
      </c>
      <c r="L247" s="28">
        <v>0</v>
      </c>
      <c r="M247" s="28">
        <v>0</v>
      </c>
      <c r="N247" s="28">
        <v>0</v>
      </c>
      <c r="O247" s="28">
        <v>0</v>
      </c>
      <c r="P247" s="45">
        <f t="shared" si="277"/>
        <v>0</v>
      </c>
      <c r="Q247" s="403"/>
      <c r="R247" s="46">
        <f t="shared" si="282"/>
        <v>0</v>
      </c>
      <c r="S247" s="46">
        <f t="shared" si="278"/>
        <v>0</v>
      </c>
      <c r="T247" s="46">
        <f t="shared" si="283"/>
        <v>0</v>
      </c>
      <c r="U247" s="46">
        <f t="shared" si="284"/>
        <v>0</v>
      </c>
      <c r="V247" s="45">
        <f t="shared" si="285"/>
        <v>0</v>
      </c>
      <c r="W247" s="47">
        <f>+C471*R247/R262</f>
        <v>0</v>
      </c>
      <c r="X247" s="47">
        <v>0</v>
      </c>
      <c r="Y247" s="47">
        <v>0</v>
      </c>
      <c r="Z247" s="47">
        <v>0</v>
      </c>
      <c r="AA247" s="45">
        <f t="shared" si="280"/>
        <v>0</v>
      </c>
      <c r="AB247" s="46">
        <f t="shared" si="287"/>
        <v>0</v>
      </c>
      <c r="AC247" s="46">
        <f t="shared" si="281"/>
        <v>0</v>
      </c>
      <c r="AD247" s="46">
        <f t="shared" si="281"/>
        <v>0</v>
      </c>
      <c r="AE247" s="46">
        <f t="shared" si="281"/>
        <v>0</v>
      </c>
      <c r="AF247" s="28">
        <f t="shared" si="288"/>
        <v>0</v>
      </c>
    </row>
    <row r="248" spans="2:33">
      <c r="B248" s="50" t="s">
        <v>219</v>
      </c>
      <c r="C248" s="28">
        <v>435977.5</v>
      </c>
      <c r="D248" s="28">
        <v>0</v>
      </c>
      <c r="E248" s="40">
        <v>0</v>
      </c>
      <c r="F248" s="28">
        <v>0</v>
      </c>
      <c r="G248" s="374">
        <f t="shared" si="289"/>
        <v>435977.5</v>
      </c>
      <c r="H248" s="43"/>
      <c r="I248" s="28">
        <f t="shared" si="290"/>
        <v>435977.5</v>
      </c>
      <c r="J248" s="28">
        <f>+I248*100/I250</f>
        <v>1.0683638255518522</v>
      </c>
      <c r="K248" s="28">
        <f>+H242*J248/100</f>
        <v>225458.83624547382</v>
      </c>
      <c r="L248" s="28">
        <v>0</v>
      </c>
      <c r="M248" s="28">
        <v>0</v>
      </c>
      <c r="N248" s="28">
        <v>0</v>
      </c>
      <c r="O248" s="28">
        <v>0</v>
      </c>
      <c r="P248" s="45">
        <f t="shared" si="277"/>
        <v>0</v>
      </c>
      <c r="Q248" s="403"/>
      <c r="R248" s="46">
        <f t="shared" si="282"/>
        <v>435977.5</v>
      </c>
      <c r="S248" s="46">
        <f t="shared" si="278"/>
        <v>0</v>
      </c>
      <c r="T248" s="46">
        <f t="shared" si="283"/>
        <v>0</v>
      </c>
      <c r="U248" s="46">
        <f t="shared" si="284"/>
        <v>225458.83624547382</v>
      </c>
      <c r="V248" s="45">
        <f t="shared" si="285"/>
        <v>661436.33624547382</v>
      </c>
      <c r="W248" s="47">
        <f>+C472*R248/R263</f>
        <v>355911.42378413142</v>
      </c>
      <c r="X248" s="47">
        <v>0</v>
      </c>
      <c r="Y248" s="47">
        <v>0</v>
      </c>
      <c r="Z248" s="47">
        <f t="shared" si="286"/>
        <v>43529.384536391801</v>
      </c>
      <c r="AA248" s="45">
        <f t="shared" si="280"/>
        <v>399440.80832052324</v>
      </c>
      <c r="AB248" s="46">
        <f t="shared" si="287"/>
        <v>791888.92378413142</v>
      </c>
      <c r="AC248" s="46">
        <f t="shared" si="281"/>
        <v>0</v>
      </c>
      <c r="AD248" s="46">
        <f t="shared" si="281"/>
        <v>0</v>
      </c>
      <c r="AE248" s="46">
        <f t="shared" si="281"/>
        <v>268988.22078186565</v>
      </c>
      <c r="AF248" s="28">
        <f t="shared" si="288"/>
        <v>1060877.1445659972</v>
      </c>
    </row>
    <row r="249" spans="2:33">
      <c r="B249" s="42" t="s">
        <v>216</v>
      </c>
      <c r="C249" s="28">
        <v>0</v>
      </c>
      <c r="D249" s="28">
        <v>0</v>
      </c>
      <c r="E249" s="40">
        <v>0</v>
      </c>
      <c r="F249" s="28">
        <v>0</v>
      </c>
      <c r="G249" s="374">
        <f t="shared" si="289"/>
        <v>0</v>
      </c>
      <c r="H249" s="43"/>
      <c r="I249" s="28">
        <f t="shared" si="290"/>
        <v>0</v>
      </c>
      <c r="J249" s="28">
        <f>+I249*100/I250</f>
        <v>0</v>
      </c>
      <c r="K249" s="44"/>
      <c r="L249" s="28">
        <v>0</v>
      </c>
      <c r="M249" s="28">
        <v>0</v>
      </c>
      <c r="N249" s="28">
        <v>0</v>
      </c>
      <c r="O249" s="28">
        <v>0</v>
      </c>
      <c r="P249" s="45">
        <f t="shared" si="277"/>
        <v>0</v>
      </c>
      <c r="Q249" s="403"/>
      <c r="R249" s="46">
        <f t="shared" si="282"/>
        <v>0</v>
      </c>
      <c r="S249" s="46">
        <f t="shared" si="278"/>
        <v>0</v>
      </c>
      <c r="T249" s="46">
        <f t="shared" si="283"/>
        <v>0</v>
      </c>
      <c r="U249" s="46">
        <f t="shared" si="284"/>
        <v>0</v>
      </c>
      <c r="V249" s="45">
        <f t="shared" si="285"/>
        <v>0</v>
      </c>
      <c r="W249" s="47">
        <v>0</v>
      </c>
      <c r="X249" s="47">
        <v>0</v>
      </c>
      <c r="Y249" s="47">
        <v>0</v>
      </c>
      <c r="Z249" s="47">
        <v>0</v>
      </c>
      <c r="AA249" s="45">
        <f t="shared" si="280"/>
        <v>0</v>
      </c>
      <c r="AB249" s="46">
        <f t="shared" si="287"/>
        <v>0</v>
      </c>
      <c r="AC249" s="46">
        <f t="shared" si="281"/>
        <v>0</v>
      </c>
      <c r="AD249" s="46">
        <f t="shared" si="281"/>
        <v>0</v>
      </c>
      <c r="AE249" s="46">
        <f t="shared" si="281"/>
        <v>0</v>
      </c>
      <c r="AF249" s="28">
        <f t="shared" si="288"/>
        <v>0</v>
      </c>
    </row>
    <row r="250" spans="2:33">
      <c r="B250" s="42"/>
      <c r="C250" s="28">
        <f>SUM(C241:C249)</f>
        <v>36138686.880000003</v>
      </c>
      <c r="D250" s="28">
        <f>SUM(D241:D249)</f>
        <v>4669274.75</v>
      </c>
      <c r="E250" s="28">
        <f t="shared" ref="E250:G250" si="291">SUM(E241:E249)</f>
        <v>0</v>
      </c>
      <c r="F250" s="28">
        <f>SUM(F241:F249)</f>
        <v>21103188.899999999</v>
      </c>
      <c r="G250" s="28">
        <f t="shared" si="291"/>
        <v>61911150.530000001</v>
      </c>
      <c r="H250" s="43"/>
      <c r="I250" s="28">
        <f>SUM(I242:I249)</f>
        <v>40807961.630000003</v>
      </c>
      <c r="J250" s="28">
        <f>+I250*100/I250</f>
        <v>100</v>
      </c>
      <c r="K250" s="28">
        <f>SUM(K242:K249)</f>
        <v>21103188.899999999</v>
      </c>
      <c r="L250" s="28">
        <f>SUM(L241:L249)</f>
        <v>0</v>
      </c>
      <c r="M250" s="28">
        <f>SUM(M241:M249)</f>
        <v>0</v>
      </c>
      <c r="N250" s="28">
        <f>SUM(N241:N249)</f>
        <v>0</v>
      </c>
      <c r="O250" s="28">
        <f>SUM(O241:O249)</f>
        <v>0</v>
      </c>
      <c r="P250" s="45">
        <f t="shared" si="277"/>
        <v>0</v>
      </c>
      <c r="Q250" s="403">
        <f>SUM(Q241:Q249)</f>
        <v>303446.03999999998</v>
      </c>
      <c r="R250" s="46">
        <f t="shared" ref="R250:Z250" si="292">SUM(R241:R249)</f>
        <v>36138686.880000003</v>
      </c>
      <c r="S250" s="46">
        <f t="shared" si="292"/>
        <v>4669274.75</v>
      </c>
      <c r="T250" s="46">
        <f t="shared" si="292"/>
        <v>303446.03999999998</v>
      </c>
      <c r="U250" s="46">
        <f t="shared" ref="U250" si="293">+K250+O250</f>
        <v>21103188.899999999</v>
      </c>
      <c r="V250" s="51">
        <f t="shared" si="292"/>
        <v>62214596.570000008</v>
      </c>
      <c r="W250" s="46">
        <f t="shared" si="292"/>
        <v>52665525.966765657</v>
      </c>
      <c r="X250" s="28">
        <f t="shared" si="292"/>
        <v>2544955.7558842921</v>
      </c>
      <c r="Y250" s="28">
        <f t="shared" si="292"/>
        <v>0</v>
      </c>
      <c r="Z250" s="28">
        <f t="shared" si="292"/>
        <v>12861664.973907251</v>
      </c>
      <c r="AA250" s="45">
        <f t="shared" si="280"/>
        <v>68072146.696557194</v>
      </c>
      <c r="AB250" s="46">
        <f>SUM(AB241:AB249)</f>
        <v>88804212.846765667</v>
      </c>
      <c r="AC250" s="46">
        <f t="shared" ref="AC250:AF250" si="294">SUM(AC241:AC249)</f>
        <v>7214230.5058842916</v>
      </c>
      <c r="AD250" s="46">
        <f t="shared" si="294"/>
        <v>303446.03999999998</v>
      </c>
      <c r="AE250" s="46">
        <f t="shared" si="294"/>
        <v>33964853.873907253</v>
      </c>
      <c r="AF250" s="46">
        <f t="shared" si="294"/>
        <v>130286743.2665572</v>
      </c>
    </row>
    <row r="251" spans="2:33">
      <c r="B251" s="58"/>
      <c r="C251" s="60">
        <f>56289251.67-20150564.79</f>
        <v>36138686.880000003</v>
      </c>
      <c r="D251" s="60">
        <f>5621898.86-952624.11</f>
        <v>4669274.75</v>
      </c>
      <c r="E251" s="59">
        <v>0</v>
      </c>
      <c r="F251" s="27">
        <f>20150564.79+952624.11</f>
        <v>21103188.899999999</v>
      </c>
      <c r="G251" s="29">
        <f>SUM(C251:F251)</f>
        <v>61911150.530000001</v>
      </c>
      <c r="R251" s="27"/>
      <c r="S251" s="27"/>
      <c r="T251" s="27"/>
      <c r="U251" s="27"/>
      <c r="V251" s="29"/>
    </row>
    <row r="252" spans="2:33">
      <c r="B252" s="58"/>
      <c r="C252" s="60"/>
      <c r="D252" s="60"/>
      <c r="E252" s="59"/>
      <c r="F252" s="27"/>
      <c r="G252" s="29"/>
      <c r="R252" s="27"/>
      <c r="S252" s="27"/>
      <c r="T252" s="27"/>
      <c r="U252" s="27"/>
      <c r="V252" s="29"/>
    </row>
    <row r="253" spans="2:33">
      <c r="B253" s="58"/>
      <c r="C253" s="60"/>
      <c r="D253" s="60"/>
      <c r="E253" s="59"/>
      <c r="F253" s="27"/>
      <c r="G253" s="29"/>
      <c r="R253" s="6"/>
      <c r="S253" s="27"/>
      <c r="T253" s="27"/>
      <c r="U253" s="27"/>
      <c r="V253" s="29"/>
    </row>
    <row r="254" spans="2:33">
      <c r="B254" s="650" t="s">
        <v>234</v>
      </c>
      <c r="C254" s="650"/>
      <c r="D254" s="650"/>
      <c r="E254" s="650"/>
      <c r="F254" s="650"/>
      <c r="G254" s="650"/>
      <c r="R254" s="27"/>
      <c r="S254" s="27"/>
      <c r="T254" s="27"/>
      <c r="U254" s="27"/>
      <c r="V254" s="29"/>
      <c r="AB254" s="582" t="s">
        <v>412</v>
      </c>
      <c r="AC254" s="582"/>
      <c r="AD254" s="582"/>
      <c r="AE254" s="582"/>
      <c r="AF254" s="582"/>
    </row>
    <row r="255" spans="2:33">
      <c r="B255" s="55" t="s">
        <v>9</v>
      </c>
      <c r="C255" s="40" t="s">
        <v>206</v>
      </c>
      <c r="D255" s="40" t="s">
        <v>207</v>
      </c>
      <c r="E255" s="40" t="s">
        <v>10</v>
      </c>
      <c r="F255" s="40" t="s">
        <v>11</v>
      </c>
      <c r="G255" s="40" t="s">
        <v>208</v>
      </c>
      <c r="H255" s="43"/>
      <c r="I255" s="44"/>
      <c r="J255" s="44"/>
      <c r="K255" s="44"/>
      <c r="L255" s="28"/>
      <c r="M255" s="28"/>
      <c r="N255" s="28"/>
      <c r="O255" s="28"/>
      <c r="P255" s="45"/>
      <c r="Q255" s="403"/>
      <c r="R255" s="46"/>
      <c r="S255" s="28"/>
      <c r="T255" s="28"/>
      <c r="U255" s="28"/>
      <c r="V255" s="45"/>
      <c r="W255" s="56"/>
      <c r="X255" s="44"/>
      <c r="Y255" s="44"/>
      <c r="Z255" s="44"/>
      <c r="AA255" s="57"/>
      <c r="AB255" s="382" t="s">
        <v>206</v>
      </c>
      <c r="AC255" s="379" t="s">
        <v>207</v>
      </c>
      <c r="AD255" s="379" t="s">
        <v>10</v>
      </c>
      <c r="AE255" s="379" t="s">
        <v>11</v>
      </c>
      <c r="AF255" s="379" t="s">
        <v>267</v>
      </c>
    </row>
    <row r="256" spans="2:33">
      <c r="B256" s="42" t="s">
        <v>209</v>
      </c>
      <c r="C256" s="6">
        <f>+C6+C20+C33+C47+C61+C74+C106+C119+C137+C151+C165+C182+C196+C210+C227+C241</f>
        <v>65840578.480000004</v>
      </c>
      <c r="D256" s="6">
        <f>+D6+D20+D33+D47+D61+D74+D106+D119+D137+D151+D165+D182+D196+D210+D227+D241</f>
        <v>44162876.509999998</v>
      </c>
      <c r="E256" s="6">
        <f t="shared" ref="E256:O256" si="295">+E6+E20+E33+E47+E61+E74+E106+E119+E137+E151+E165+E182+E196+E210+E227+E241</f>
        <v>0</v>
      </c>
      <c r="F256" s="6">
        <f>+F6+F20+F33+F47+F61+F74+F106+F119+F137+F151+F165+F182+F196+F210+F227+F241</f>
        <v>38521205.239999995</v>
      </c>
      <c r="G256" s="6">
        <f>SUM(C256:F256)</f>
        <v>148524660.23000002</v>
      </c>
      <c r="H256" s="49"/>
      <c r="I256" s="6"/>
      <c r="J256" s="6"/>
      <c r="K256" s="6"/>
      <c r="L256" s="6">
        <f>+L6+L20+L33+L47+L61+L74+L106+L119+L137+L151+L165+L182+L196+L210+L227+L241</f>
        <v>1229183.6599999999</v>
      </c>
      <c r="M256" s="6">
        <f t="shared" si="295"/>
        <v>341460</v>
      </c>
      <c r="N256" s="6">
        <f t="shared" si="295"/>
        <v>0</v>
      </c>
      <c r="O256" s="6">
        <f t="shared" si="295"/>
        <v>0</v>
      </c>
      <c r="P256" s="45">
        <f t="shared" ref="P256:P264" si="296">SUM(L256:O256)</f>
        <v>1570643.66</v>
      </c>
      <c r="Q256" s="413">
        <f>+Q6+Q20+Q33+Q47+Q61+Q74+Q106+Q119+Q137+Q151+Q165+Q182+Q196+Q210+Q227+Q241</f>
        <v>3972810.96</v>
      </c>
      <c r="R256" s="6">
        <f>+R6+R20+R33+R47+R61+R74+R106+R119+R137+R151+R165+R182+R196+R210+R227+R241</f>
        <v>67069762.140000001</v>
      </c>
      <c r="S256" s="6">
        <f t="shared" ref="S256" si="297">+S6+S20+S33+S47+S61+S74+S106+S119+S137+S151+S165+S182+S196+S210+S227+S241</f>
        <v>44504336.509999998</v>
      </c>
      <c r="T256" s="6">
        <f>+T6+T20+T33+T47+T61+T74+T106+T119+T137+T151+T165+T182+T196+T210+T227+T241</f>
        <v>3972810.96</v>
      </c>
      <c r="U256" s="6">
        <f>+U6+U20+U33+U47+U61+U74+U106+U119+U137+U151+U165+U182+U196+U210+U227+U241</f>
        <v>33909882.157952167</v>
      </c>
      <c r="V256" s="45">
        <f>SUM(R256:U256)</f>
        <v>149456791.76795217</v>
      </c>
      <c r="W256" s="6">
        <f>+W6+W20+W33+W47+W61+W74+W106+W119+W137+W151+W165+W182+W196+W210+W227+W241</f>
        <v>111810620.02000003</v>
      </c>
      <c r="X256" s="6">
        <f t="shared" ref="X256:Z256" si="298">+X6+X20+X33+X47+X61+X74+X106+X119+X137+X151+X165+X182+X196+X210+X227+X241</f>
        <v>19061351.859999999</v>
      </c>
      <c r="Y256" s="6">
        <f t="shared" si="298"/>
        <v>0</v>
      </c>
      <c r="Z256" s="6">
        <f t="shared" si="298"/>
        <v>0</v>
      </c>
      <c r="AA256" s="45">
        <f t="shared" ref="AA256:AA264" si="299">SUM(W256:Z256)</f>
        <v>130871971.88000003</v>
      </c>
      <c r="AB256" s="6">
        <f>+AB6+AB20+AB33+AB47+AB61+AB74+AB106+AB119+AB137+AB151+AB165+AB182+AB196+AB210+AB227+AB241</f>
        <v>178880382.16</v>
      </c>
      <c r="AC256" s="6">
        <f t="shared" ref="AC256:AE256" si="300">+AC6+AC20+AC33+AC47+AC61+AC74+AC106+AC119+AC137+AC151+AC165+AC182+AC196+AC210+AC227+AC241</f>
        <v>63565688.370000005</v>
      </c>
      <c r="AD256" s="6">
        <f>+AD6+AD20+AD33+AD47+AD61+AD74+AD106+AD119+AD137+AD151+AD165+AD182+AD196+AD210+AD227+AD241</f>
        <v>3972810.96</v>
      </c>
      <c r="AE256" s="6">
        <f t="shared" si="300"/>
        <v>33909882.157952167</v>
      </c>
      <c r="AF256" s="46">
        <f t="shared" ref="AF256:AF264" si="301">+V256+AA256</f>
        <v>280328763.6479522</v>
      </c>
      <c r="AG256" s="27"/>
    </row>
    <row r="257" spans="1:32">
      <c r="B257" s="42" t="s">
        <v>210</v>
      </c>
      <c r="C257" s="6">
        <f t="shared" ref="C257:C264" si="302">+C7+C21+C34+C48+C62+C75+C107+C120+C138+C152+C166+C183+C197+C211+C228+C242</f>
        <v>241828157.15000001</v>
      </c>
      <c r="D257" s="6">
        <f t="shared" ref="D257:F264" si="303">+D7+D21+D34+D48+D62+D75+D107+D120+D138+D152+D166+D183+D197+D211+D228+D242</f>
        <v>55520849.679999992</v>
      </c>
      <c r="E257" s="6">
        <f t="shared" si="303"/>
        <v>0</v>
      </c>
      <c r="F257" s="6">
        <f t="shared" si="303"/>
        <v>129463972.491</v>
      </c>
      <c r="G257" s="6">
        <f t="shared" ref="G257:G264" si="304">SUM(C257:F257)</f>
        <v>426812979.32099998</v>
      </c>
      <c r="H257" s="49"/>
      <c r="I257" s="6"/>
      <c r="J257" s="6"/>
      <c r="K257" s="6"/>
      <c r="L257" s="6">
        <f>+L7+L21+L34+L48+L62+L75+L107+L120+L138+L152+L166+L183+L197+L211+L228+L242</f>
        <v>8813074.5500000007</v>
      </c>
      <c r="M257" s="6">
        <f t="shared" ref="L257:O264" si="305">+M7+M21+M34+M48+M62+M75+M107+M120+M138+M152+M166+M183+M197+M211+M228+M242</f>
        <v>4391737</v>
      </c>
      <c r="N257" s="6">
        <f t="shared" si="305"/>
        <v>0</v>
      </c>
      <c r="O257" s="6">
        <f t="shared" si="305"/>
        <v>0</v>
      </c>
      <c r="P257" s="45">
        <f t="shared" si="296"/>
        <v>13204811.550000001</v>
      </c>
      <c r="Q257" s="413">
        <f>+Q7+Q21+Q34+Q48+Q62+Q75+Q107+Q120+Q138+Q152+Q166+Q183+Q197+Q211+Q228+Q242</f>
        <v>5990906.0900000008</v>
      </c>
      <c r="R257" s="6">
        <f t="shared" ref="R257:T264" si="306">+R7+R21+R34+R48+R62+R75+R107+R120+R138+R152+R166+R183+R197+R211+R228+R242</f>
        <v>250641231.70000002</v>
      </c>
      <c r="S257" s="6">
        <f t="shared" si="306"/>
        <v>59912586.679999992</v>
      </c>
      <c r="T257" s="6">
        <f t="shared" si="306"/>
        <v>5990906.0900000008</v>
      </c>
      <c r="U257" s="6">
        <f t="shared" ref="U257:U264" si="307">+U7+U21+U34+U48+U62+U75+U107+U120+U138+U152+U166+U183+U197+U211+U228+U242</f>
        <v>118790091.87572157</v>
      </c>
      <c r="V257" s="45">
        <f t="shared" ref="V257:V262" si="308">SUM(R257:U257)</f>
        <v>435334816.34572154</v>
      </c>
      <c r="W257" s="6">
        <f t="shared" ref="W257:Z264" si="309">+W7+W21+W34+W48+W62+W75+W107+W120+W138+W152+W166+W183+W197+W211+W228+W242</f>
        <v>376429146.81</v>
      </c>
      <c r="X257" s="6">
        <f t="shared" si="309"/>
        <v>34056055.230000012</v>
      </c>
      <c r="Y257" s="6">
        <f t="shared" si="309"/>
        <v>0</v>
      </c>
      <c r="Z257" s="6">
        <f t="shared" si="309"/>
        <v>75063597.889999986</v>
      </c>
      <c r="AA257" s="45">
        <f t="shared" si="299"/>
        <v>485548799.93000001</v>
      </c>
      <c r="AB257" s="6">
        <f t="shared" ref="AB257:AE264" si="310">+AB7+AB21+AB34+AB48+AB62+AB75+AB107+AB120+AB138+AB152+AB166+AB183+AB197+AB211+AB228+AB242</f>
        <v>627070378.50999999</v>
      </c>
      <c r="AC257" s="6">
        <f t="shared" si="310"/>
        <v>93968641.909999996</v>
      </c>
      <c r="AD257" s="6">
        <f t="shared" si="310"/>
        <v>5990906.0900000008</v>
      </c>
      <c r="AE257" s="6">
        <f t="shared" si="310"/>
        <v>193853689.76572156</v>
      </c>
      <c r="AF257" s="46">
        <f t="shared" si="301"/>
        <v>920883616.27572155</v>
      </c>
    </row>
    <row r="258" spans="1:32">
      <c r="B258" s="42" t="s">
        <v>211</v>
      </c>
      <c r="C258" s="6">
        <f t="shared" si="302"/>
        <v>3515134.76</v>
      </c>
      <c r="D258" s="6">
        <f t="shared" si="303"/>
        <v>1260015.2</v>
      </c>
      <c r="E258" s="6">
        <f t="shared" si="303"/>
        <v>0</v>
      </c>
      <c r="F258" s="6">
        <f t="shared" si="303"/>
        <v>359129.68000000005</v>
      </c>
      <c r="G258" s="6">
        <f t="shared" si="304"/>
        <v>5134279.6399999997</v>
      </c>
      <c r="H258" s="49"/>
      <c r="I258" s="6"/>
      <c r="J258" s="6"/>
      <c r="K258" s="6"/>
      <c r="L258" s="6">
        <f t="shared" si="305"/>
        <v>0</v>
      </c>
      <c r="M258" s="6">
        <f t="shared" si="305"/>
        <v>0</v>
      </c>
      <c r="N258" s="6">
        <f t="shared" si="305"/>
        <v>0</v>
      </c>
      <c r="O258" s="6">
        <f t="shared" si="305"/>
        <v>0</v>
      </c>
      <c r="P258" s="45">
        <f t="shared" si="296"/>
        <v>0</v>
      </c>
      <c r="Q258" s="405"/>
      <c r="R258" s="6">
        <f t="shared" si="306"/>
        <v>3515134.76</v>
      </c>
      <c r="S258" s="6">
        <f t="shared" si="306"/>
        <v>1260015.2</v>
      </c>
      <c r="T258" s="6">
        <f t="shared" si="306"/>
        <v>0</v>
      </c>
      <c r="U258" s="6">
        <f t="shared" si="307"/>
        <v>1502395.1678369085</v>
      </c>
      <c r="V258" s="45">
        <f t="shared" si="308"/>
        <v>6277545.1278369082</v>
      </c>
      <c r="W258" s="6">
        <f t="shared" si="309"/>
        <v>454948</v>
      </c>
      <c r="X258" s="6">
        <f t="shared" si="309"/>
        <v>0</v>
      </c>
      <c r="Y258" s="6">
        <f t="shared" si="309"/>
        <v>0</v>
      </c>
      <c r="Z258" s="6">
        <f t="shared" si="309"/>
        <v>0</v>
      </c>
      <c r="AA258" s="45">
        <f t="shared" si="299"/>
        <v>454948</v>
      </c>
      <c r="AB258" s="6">
        <f t="shared" si="310"/>
        <v>3970082.7599999993</v>
      </c>
      <c r="AC258" s="6">
        <f t="shared" si="310"/>
        <v>1260015.2</v>
      </c>
      <c r="AD258" s="6">
        <f t="shared" si="310"/>
        <v>0</v>
      </c>
      <c r="AE258" s="6">
        <f t="shared" si="310"/>
        <v>1502395.1678369085</v>
      </c>
      <c r="AF258" s="46">
        <f t="shared" si="301"/>
        <v>6732493.1278369082</v>
      </c>
    </row>
    <row r="259" spans="1:32">
      <c r="B259" s="42" t="s">
        <v>212</v>
      </c>
      <c r="C259" s="6">
        <f t="shared" si="302"/>
        <v>4408830.3099999996</v>
      </c>
      <c r="D259" s="6">
        <f t="shared" si="303"/>
        <v>1688970.8</v>
      </c>
      <c r="E259" s="6">
        <f t="shared" si="303"/>
        <v>0</v>
      </c>
      <c r="F259" s="6">
        <f t="shared" si="303"/>
        <v>418905.05</v>
      </c>
      <c r="G259" s="6">
        <f t="shared" si="304"/>
        <v>6516706.1599999992</v>
      </c>
      <c r="H259" s="49"/>
      <c r="I259" s="6"/>
      <c r="J259" s="6"/>
      <c r="K259" s="6"/>
      <c r="L259" s="6">
        <f t="shared" si="305"/>
        <v>0</v>
      </c>
      <c r="M259" s="6">
        <f t="shared" si="305"/>
        <v>0</v>
      </c>
      <c r="N259" s="6">
        <f t="shared" si="305"/>
        <v>0</v>
      </c>
      <c r="O259" s="6">
        <f t="shared" si="305"/>
        <v>0</v>
      </c>
      <c r="P259" s="45">
        <f t="shared" si="296"/>
        <v>0</v>
      </c>
      <c r="Q259" s="405"/>
      <c r="R259" s="6">
        <f t="shared" si="306"/>
        <v>4408830.3099999996</v>
      </c>
      <c r="S259" s="6">
        <f t="shared" si="306"/>
        <v>1688970.8</v>
      </c>
      <c r="T259" s="6">
        <f t="shared" si="306"/>
        <v>0</v>
      </c>
      <c r="U259" s="6">
        <f t="shared" si="307"/>
        <v>2378781.1017729421</v>
      </c>
      <c r="V259" s="45">
        <f t="shared" si="308"/>
        <v>8476582.2117729411</v>
      </c>
      <c r="W259" s="6">
        <f t="shared" si="309"/>
        <v>3196110.7000000007</v>
      </c>
      <c r="X259" s="6">
        <f t="shared" si="309"/>
        <v>265000</v>
      </c>
      <c r="Y259" s="6">
        <f t="shared" si="309"/>
        <v>0</v>
      </c>
      <c r="Z259" s="6">
        <f t="shared" si="309"/>
        <v>505568.87</v>
      </c>
      <c r="AA259" s="45">
        <f t="shared" si="299"/>
        <v>3966679.5700000008</v>
      </c>
      <c r="AB259" s="6">
        <f t="shared" si="310"/>
        <v>7604941.0099999998</v>
      </c>
      <c r="AC259" s="6">
        <f t="shared" si="310"/>
        <v>1953970.8</v>
      </c>
      <c r="AD259" s="6">
        <f t="shared" si="310"/>
        <v>0</v>
      </c>
      <c r="AE259" s="6">
        <f t="shared" si="310"/>
        <v>2884349.9717729418</v>
      </c>
      <c r="AF259" s="46">
        <f t="shared" si="301"/>
        <v>12443261.781772941</v>
      </c>
    </row>
    <row r="260" spans="1:32">
      <c r="B260" s="42" t="s">
        <v>213</v>
      </c>
      <c r="C260" s="6">
        <f t="shared" si="302"/>
        <v>26335500</v>
      </c>
      <c r="D260" s="6">
        <f t="shared" si="303"/>
        <v>1558570</v>
      </c>
      <c r="E260" s="6">
        <f t="shared" si="303"/>
        <v>0</v>
      </c>
      <c r="F260" s="6">
        <f t="shared" si="303"/>
        <v>1275202.6200000001</v>
      </c>
      <c r="G260" s="6">
        <f t="shared" si="304"/>
        <v>29169272.620000001</v>
      </c>
      <c r="H260" s="49"/>
      <c r="I260" s="6"/>
      <c r="J260" s="6"/>
      <c r="K260" s="6"/>
      <c r="L260" s="6">
        <f t="shared" si="305"/>
        <v>0</v>
      </c>
      <c r="M260" s="6">
        <f t="shared" si="305"/>
        <v>0</v>
      </c>
      <c r="N260" s="6">
        <f t="shared" si="305"/>
        <v>0</v>
      </c>
      <c r="O260" s="6">
        <f t="shared" si="305"/>
        <v>0</v>
      </c>
      <c r="P260" s="45">
        <f t="shared" si="296"/>
        <v>0</v>
      </c>
      <c r="Q260" s="405"/>
      <c r="R260" s="6">
        <f t="shared" si="306"/>
        <v>26335500</v>
      </c>
      <c r="S260" s="6">
        <f t="shared" si="306"/>
        <v>1558570</v>
      </c>
      <c r="T260" s="6">
        <f t="shared" si="306"/>
        <v>0</v>
      </c>
      <c r="U260" s="6">
        <f t="shared" si="307"/>
        <v>7324081.6532801203</v>
      </c>
      <c r="V260" s="45">
        <f t="shared" si="308"/>
        <v>35218151.653280124</v>
      </c>
      <c r="W260" s="6">
        <f t="shared" si="309"/>
        <v>0</v>
      </c>
      <c r="X260" s="6">
        <f t="shared" si="309"/>
        <v>0</v>
      </c>
      <c r="Y260" s="6">
        <f t="shared" si="309"/>
        <v>0</v>
      </c>
      <c r="Z260" s="6">
        <f t="shared" si="309"/>
        <v>0</v>
      </c>
      <c r="AA260" s="45">
        <f t="shared" si="299"/>
        <v>0</v>
      </c>
      <c r="AB260" s="6">
        <f t="shared" si="310"/>
        <v>26335500</v>
      </c>
      <c r="AC260" s="6">
        <f t="shared" si="310"/>
        <v>1558570</v>
      </c>
      <c r="AD260" s="6">
        <f t="shared" si="310"/>
        <v>0</v>
      </c>
      <c r="AE260" s="6">
        <f t="shared" si="310"/>
        <v>7324081.6532801203</v>
      </c>
      <c r="AF260" s="46">
        <f t="shared" si="301"/>
        <v>35218151.653280124</v>
      </c>
    </row>
    <row r="261" spans="1:32">
      <c r="B261" s="42" t="s">
        <v>214</v>
      </c>
      <c r="C261" s="6">
        <f t="shared" si="302"/>
        <v>16833700</v>
      </c>
      <c r="D261" s="6">
        <f t="shared" si="303"/>
        <v>2625660</v>
      </c>
      <c r="E261" s="6">
        <f t="shared" si="303"/>
        <v>0</v>
      </c>
      <c r="F261" s="6">
        <f t="shared" si="303"/>
        <v>376315.65</v>
      </c>
      <c r="G261" s="6">
        <f t="shared" si="304"/>
        <v>19835675.649999999</v>
      </c>
      <c r="H261" s="49"/>
      <c r="I261" s="6"/>
      <c r="J261" s="6"/>
      <c r="K261" s="6"/>
      <c r="L261" s="6">
        <f t="shared" si="305"/>
        <v>0</v>
      </c>
      <c r="M261" s="6">
        <f t="shared" si="305"/>
        <v>0</v>
      </c>
      <c r="N261" s="6">
        <f t="shared" si="305"/>
        <v>0</v>
      </c>
      <c r="O261" s="6">
        <f t="shared" si="305"/>
        <v>0</v>
      </c>
      <c r="P261" s="45">
        <f t="shared" si="296"/>
        <v>0</v>
      </c>
      <c r="Q261" s="405"/>
      <c r="R261" s="6">
        <f t="shared" si="306"/>
        <v>16833700</v>
      </c>
      <c r="S261" s="6">
        <f t="shared" si="306"/>
        <v>2625660</v>
      </c>
      <c r="T261" s="6">
        <f t="shared" si="306"/>
        <v>0</v>
      </c>
      <c r="U261" s="6">
        <f t="shared" si="307"/>
        <v>5418058.9688996691</v>
      </c>
      <c r="V261" s="45">
        <f t="shared" si="308"/>
        <v>24877418.968899667</v>
      </c>
      <c r="W261" s="6">
        <f t="shared" si="309"/>
        <v>0</v>
      </c>
      <c r="X261" s="6">
        <f t="shared" si="309"/>
        <v>0</v>
      </c>
      <c r="Y261" s="6">
        <f t="shared" si="309"/>
        <v>0</v>
      </c>
      <c r="Z261" s="6">
        <f t="shared" si="309"/>
        <v>0</v>
      </c>
      <c r="AA261" s="45">
        <f t="shared" si="299"/>
        <v>0</v>
      </c>
      <c r="AB261" s="6">
        <f t="shared" si="310"/>
        <v>16833700</v>
      </c>
      <c r="AC261" s="6">
        <f t="shared" si="310"/>
        <v>2625660</v>
      </c>
      <c r="AD261" s="6">
        <f t="shared" si="310"/>
        <v>0</v>
      </c>
      <c r="AE261" s="6">
        <f t="shared" si="310"/>
        <v>5418058.9688996691</v>
      </c>
      <c r="AF261" s="46">
        <f t="shared" si="301"/>
        <v>24877418.968899667</v>
      </c>
    </row>
    <row r="262" spans="1:32">
      <c r="B262" s="50" t="s">
        <v>437</v>
      </c>
      <c r="C262" s="6">
        <f t="shared" si="302"/>
        <v>1137972.96</v>
      </c>
      <c r="D262" s="6">
        <f t="shared" si="303"/>
        <v>0</v>
      </c>
      <c r="E262" s="6">
        <f t="shared" si="303"/>
        <v>0</v>
      </c>
      <c r="F262" s="6">
        <f t="shared" si="303"/>
        <v>0</v>
      </c>
      <c r="G262" s="6">
        <f t="shared" si="304"/>
        <v>1137972.96</v>
      </c>
      <c r="H262" s="49"/>
      <c r="I262" s="6"/>
      <c r="J262" s="6"/>
      <c r="K262" s="6"/>
      <c r="L262" s="6">
        <v>0</v>
      </c>
      <c r="M262" s="6">
        <f t="shared" si="305"/>
        <v>0</v>
      </c>
      <c r="N262" s="6">
        <f t="shared" si="305"/>
        <v>0</v>
      </c>
      <c r="O262" s="6">
        <f t="shared" si="305"/>
        <v>0</v>
      </c>
      <c r="P262" s="45">
        <f t="shared" si="296"/>
        <v>0</v>
      </c>
      <c r="Q262" s="405"/>
      <c r="R262" s="6">
        <f t="shared" si="306"/>
        <v>1137972.96</v>
      </c>
      <c r="S262" s="6">
        <f t="shared" si="306"/>
        <v>0</v>
      </c>
      <c r="T262" s="6">
        <f t="shared" si="306"/>
        <v>0</v>
      </c>
      <c r="U262" s="6">
        <f t="shared" si="307"/>
        <v>165266.30288258268</v>
      </c>
      <c r="V262" s="45">
        <f t="shared" si="308"/>
        <v>1303239.2628825826</v>
      </c>
      <c r="W262" s="6">
        <f t="shared" si="309"/>
        <v>2040550.56</v>
      </c>
      <c r="X262" s="6">
        <f t="shared" si="309"/>
        <v>0</v>
      </c>
      <c r="Y262" s="6">
        <f t="shared" si="309"/>
        <v>0</v>
      </c>
      <c r="Z262" s="6">
        <f t="shared" si="309"/>
        <v>0</v>
      </c>
      <c r="AA262" s="45">
        <f t="shared" si="299"/>
        <v>2040550.56</v>
      </c>
      <c r="AB262" s="6">
        <f t="shared" si="310"/>
        <v>3178523.5200000005</v>
      </c>
      <c r="AC262" s="6">
        <f t="shared" si="310"/>
        <v>0</v>
      </c>
      <c r="AD262" s="6">
        <f t="shared" si="310"/>
        <v>0</v>
      </c>
      <c r="AE262" s="6">
        <f t="shared" si="310"/>
        <v>165266.30288258268</v>
      </c>
      <c r="AF262" s="46">
        <f t="shared" si="301"/>
        <v>3343789.8228825824</v>
      </c>
    </row>
    <row r="263" spans="1:32">
      <c r="B263" s="50" t="s">
        <v>219</v>
      </c>
      <c r="C263" s="6">
        <f t="shared" si="302"/>
        <v>2917062.8</v>
      </c>
      <c r="D263" s="6">
        <f t="shared" si="303"/>
        <v>0</v>
      </c>
      <c r="E263" s="6">
        <f t="shared" si="303"/>
        <v>0</v>
      </c>
      <c r="F263" s="6">
        <f t="shared" si="303"/>
        <v>179447.15</v>
      </c>
      <c r="G263" s="6">
        <f t="shared" si="304"/>
        <v>3096509.9499999997</v>
      </c>
      <c r="H263" s="49"/>
      <c r="I263" s="6"/>
      <c r="J263" s="6"/>
      <c r="K263" s="6"/>
      <c r="L263" s="6">
        <f t="shared" si="305"/>
        <v>0</v>
      </c>
      <c r="M263" s="6">
        <f t="shared" si="305"/>
        <v>0</v>
      </c>
      <c r="N263" s="6">
        <f t="shared" si="305"/>
        <v>0</v>
      </c>
      <c r="O263" s="6">
        <f t="shared" si="305"/>
        <v>0</v>
      </c>
      <c r="P263" s="45">
        <f t="shared" si="296"/>
        <v>0</v>
      </c>
      <c r="Q263" s="405"/>
      <c r="R263" s="6">
        <f t="shared" si="306"/>
        <v>2917062.8</v>
      </c>
      <c r="S263" s="6">
        <f t="shared" si="306"/>
        <v>0</v>
      </c>
      <c r="T263" s="6">
        <f t="shared" si="306"/>
        <v>0</v>
      </c>
      <c r="U263" s="6">
        <f t="shared" si="307"/>
        <v>1105620.6526540404</v>
      </c>
      <c r="V263" s="45">
        <f>SUM(R263:U263)</f>
        <v>4022683.4526540404</v>
      </c>
      <c r="W263" s="6">
        <f t="shared" si="309"/>
        <v>2381352.1900000004</v>
      </c>
      <c r="X263" s="6">
        <f t="shared" si="309"/>
        <v>0</v>
      </c>
      <c r="Y263" s="6">
        <f t="shared" si="309"/>
        <v>0</v>
      </c>
      <c r="Z263" s="6">
        <f t="shared" si="309"/>
        <v>213462.40999999997</v>
      </c>
      <c r="AA263" s="45">
        <f t="shared" si="299"/>
        <v>2594814.6000000006</v>
      </c>
      <c r="AB263" s="6">
        <f t="shared" si="310"/>
        <v>5298414.99</v>
      </c>
      <c r="AC263" s="6">
        <f t="shared" si="310"/>
        <v>0</v>
      </c>
      <c r="AD263" s="6">
        <f t="shared" si="310"/>
        <v>0</v>
      </c>
      <c r="AE263" s="6">
        <f t="shared" si="310"/>
        <v>1319083.0626540403</v>
      </c>
      <c r="AF263" s="46">
        <f t="shared" si="301"/>
        <v>6617498.052654041</v>
      </c>
    </row>
    <row r="264" spans="1:32">
      <c r="B264" s="42" t="s">
        <v>216</v>
      </c>
      <c r="C264" s="6">
        <f t="shared" si="302"/>
        <v>0</v>
      </c>
      <c r="D264" s="6">
        <f t="shared" si="303"/>
        <v>0</v>
      </c>
      <c r="E264" s="6">
        <f t="shared" si="303"/>
        <v>0</v>
      </c>
      <c r="F264" s="6">
        <f t="shared" si="303"/>
        <v>0</v>
      </c>
      <c r="G264" s="6">
        <f t="shared" si="304"/>
        <v>0</v>
      </c>
      <c r="H264" s="49"/>
      <c r="I264" s="6"/>
      <c r="J264" s="6"/>
      <c r="K264" s="6"/>
      <c r="L264" s="6">
        <f t="shared" si="305"/>
        <v>0</v>
      </c>
      <c r="M264" s="6">
        <f t="shared" si="305"/>
        <v>0</v>
      </c>
      <c r="N264" s="6">
        <f t="shared" si="305"/>
        <v>0</v>
      </c>
      <c r="O264" s="6">
        <f t="shared" si="305"/>
        <v>0</v>
      </c>
      <c r="P264" s="45">
        <f t="shared" si="296"/>
        <v>0</v>
      </c>
      <c r="Q264" s="405"/>
      <c r="R264" s="6">
        <f t="shared" si="306"/>
        <v>0</v>
      </c>
      <c r="S264" s="6">
        <f t="shared" si="306"/>
        <v>0</v>
      </c>
      <c r="T264" s="6">
        <f t="shared" si="306"/>
        <v>0</v>
      </c>
      <c r="U264" s="6">
        <f t="shared" si="307"/>
        <v>0</v>
      </c>
      <c r="V264" s="45">
        <f t="shared" ref="V264" si="311">SUM(R264:U264)</f>
        <v>0</v>
      </c>
      <c r="W264" s="6">
        <f t="shared" si="309"/>
        <v>0</v>
      </c>
      <c r="X264" s="6">
        <f t="shared" si="309"/>
        <v>0</v>
      </c>
      <c r="Y264" s="6">
        <f t="shared" si="309"/>
        <v>0</v>
      </c>
      <c r="Z264" s="6">
        <f t="shared" si="309"/>
        <v>0</v>
      </c>
      <c r="AA264" s="45">
        <f t="shared" si="299"/>
        <v>0</v>
      </c>
      <c r="AB264" s="6">
        <f t="shared" si="310"/>
        <v>0</v>
      </c>
      <c r="AC264" s="6">
        <f t="shared" si="310"/>
        <v>0</v>
      </c>
      <c r="AD264" s="6">
        <f t="shared" si="310"/>
        <v>0</v>
      </c>
      <c r="AE264" s="6">
        <f t="shared" si="310"/>
        <v>0</v>
      </c>
      <c r="AF264" s="46">
        <f t="shared" si="301"/>
        <v>0</v>
      </c>
    </row>
    <row r="265" spans="1:32">
      <c r="B265" s="42"/>
      <c r="C265" s="6">
        <f>SUM(C256:C264)</f>
        <v>362816936.45999998</v>
      </c>
      <c r="D265" s="6">
        <f t="shared" ref="D265:F265" si="312">SUM(D256:D264)</f>
        <v>106816942.19</v>
      </c>
      <c r="E265" s="6">
        <f t="shared" si="312"/>
        <v>0</v>
      </c>
      <c r="F265" s="6">
        <f t="shared" si="312"/>
        <v>170594177.88100004</v>
      </c>
      <c r="G265" s="6">
        <f>SUM(C265:F265)</f>
        <v>640228056.53100002</v>
      </c>
      <c r="H265" s="28"/>
      <c r="I265" s="28"/>
      <c r="J265" s="28"/>
      <c r="K265" s="28"/>
      <c r="L265" s="28">
        <f>SUM(L256:L264)</f>
        <v>10042258.210000001</v>
      </c>
      <c r="M265" s="28">
        <f t="shared" ref="M265:S265" si="313">SUM(M256:M264)</f>
        <v>4733197</v>
      </c>
      <c r="N265" s="28">
        <f t="shared" si="313"/>
        <v>0</v>
      </c>
      <c r="O265" s="28">
        <f t="shared" si="313"/>
        <v>0</v>
      </c>
      <c r="P265" s="28">
        <f>SUM(P256:P264)</f>
        <v>14775455.210000001</v>
      </c>
      <c r="Q265" s="404">
        <f>SUM(Q256:Q264)</f>
        <v>9963717.0500000007</v>
      </c>
      <c r="R265" s="46">
        <f t="shared" si="313"/>
        <v>372859194.67000002</v>
      </c>
      <c r="S265" s="46">
        <f t="shared" si="313"/>
        <v>111550139.19</v>
      </c>
      <c r="T265" s="46">
        <f>SUM(T256:T264)</f>
        <v>9963717.0500000007</v>
      </c>
      <c r="U265" s="46">
        <f>SUM(U256:U264)</f>
        <v>170594177.88099998</v>
      </c>
      <c r="V265" s="45">
        <f>SUM(R265:U265)</f>
        <v>664967228.79100001</v>
      </c>
      <c r="W265" s="6">
        <f>SUM(W256:W264)</f>
        <v>496312728.28000003</v>
      </c>
      <c r="X265" s="6">
        <f t="shared" ref="X265:Z265" si="314">SUM(X256:X264)</f>
        <v>53382407.090000011</v>
      </c>
      <c r="Y265" s="6">
        <f t="shared" si="314"/>
        <v>0</v>
      </c>
      <c r="Z265" s="6">
        <f t="shared" si="314"/>
        <v>75782629.169999987</v>
      </c>
      <c r="AA265" s="45">
        <f>SUM(W265:Z265)</f>
        <v>625477764.53999996</v>
      </c>
      <c r="AB265" s="46">
        <f>SUM(AB256:AB264)</f>
        <v>869171922.94999993</v>
      </c>
      <c r="AC265" s="46">
        <f t="shared" ref="AC265:AF265" si="315">SUM(AC256:AC264)</f>
        <v>164932546.28</v>
      </c>
      <c r="AD265" s="46">
        <f t="shared" si="315"/>
        <v>9963717.0500000007</v>
      </c>
      <c r="AE265" s="46">
        <f t="shared" si="315"/>
        <v>246376807.05099997</v>
      </c>
      <c r="AF265" s="46">
        <f t="shared" si="315"/>
        <v>1290444993.3309999</v>
      </c>
    </row>
    <row r="266" spans="1:32">
      <c r="B266" s="391"/>
      <c r="C266" s="60">
        <f>516052352.91-153235416.45</f>
        <v>362816936.46000004</v>
      </c>
      <c r="D266" s="60">
        <f>124175703.62-17358761.43</f>
        <v>106816942.19</v>
      </c>
      <c r="E266" s="59">
        <v>0</v>
      </c>
      <c r="F266" s="60">
        <f>153235416.45+17358761.43</f>
        <v>170594177.88</v>
      </c>
      <c r="G266" s="29">
        <f>SUM(C266:F266)</f>
        <v>640228056.52999997</v>
      </c>
      <c r="R266" s="27">
        <f>+C265+10042258.21</f>
        <v>372859194.66999996</v>
      </c>
      <c r="S266" s="27">
        <f>+D265+4733197</f>
        <v>111550139.19</v>
      </c>
      <c r="T266" s="27">
        <v>9963717.0500000007</v>
      </c>
      <c r="U266" s="27">
        <f>+F265</f>
        <v>170594177.88100004</v>
      </c>
      <c r="V266" s="27">
        <f>+R266+S266+T266+U266</f>
        <v>664967228.79100001</v>
      </c>
      <c r="W266" s="27">
        <f>+C485</f>
        <v>496312728.28000003</v>
      </c>
      <c r="X266" s="27">
        <f>+D485</f>
        <v>53382407.090000004</v>
      </c>
      <c r="Y266" s="27"/>
      <c r="Z266" s="27">
        <f>+F485</f>
        <v>75782629.170000002</v>
      </c>
      <c r="AA266" s="27">
        <f>+W266+X266+Y266+Z266</f>
        <v>625477764.53999996</v>
      </c>
      <c r="AB266" s="54"/>
      <c r="AC266" s="54"/>
      <c r="AD266" s="54"/>
      <c r="AE266" s="54"/>
      <c r="AF266" s="27"/>
    </row>
    <row r="267" spans="1:32">
      <c r="B267" s="391"/>
      <c r="C267" s="60"/>
      <c r="D267" s="60"/>
      <c r="E267" s="60"/>
      <c r="F267" s="60"/>
      <c r="G267" s="60"/>
      <c r="R267" s="27"/>
      <c r="S267" s="27"/>
      <c r="T267" s="27"/>
      <c r="U267" s="27"/>
      <c r="V267" s="27"/>
      <c r="Y267" s="54"/>
      <c r="AA267" s="29"/>
      <c r="AB267" s="54"/>
      <c r="AC267" s="54"/>
      <c r="AD267" s="54"/>
      <c r="AE267" s="54"/>
      <c r="AF267" s="54"/>
    </row>
    <row r="268" spans="1:32" ht="26.25">
      <c r="B268" s="391"/>
      <c r="C268" s="392"/>
      <c r="D268" s="60"/>
      <c r="E268" s="59"/>
      <c r="F268" s="60"/>
      <c r="G268" s="29"/>
      <c r="R268" s="27"/>
      <c r="S268" s="27"/>
      <c r="T268" s="27"/>
      <c r="U268" s="27"/>
      <c r="V268" s="27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</row>
    <row r="269" spans="1:32">
      <c r="B269" s="391" t="s">
        <v>235</v>
      </c>
      <c r="C269" s="60"/>
      <c r="D269" s="60"/>
      <c r="E269" s="59"/>
      <c r="F269" s="60"/>
      <c r="G269" s="29"/>
      <c r="R269" s="27"/>
      <c r="S269" s="27"/>
      <c r="T269" s="27"/>
      <c r="U269" s="27"/>
      <c r="V269" s="27"/>
      <c r="AF269" s="27"/>
    </row>
    <row r="270" spans="1:32">
      <c r="B270" s="636" t="s">
        <v>236</v>
      </c>
      <c r="C270" s="636"/>
      <c r="D270" s="636"/>
      <c r="E270" s="636"/>
      <c r="F270" s="636"/>
      <c r="G270" s="636"/>
      <c r="R270" s="27"/>
      <c r="S270" s="27"/>
      <c r="T270" s="27"/>
      <c r="U270" s="27"/>
      <c r="V270" s="27"/>
    </row>
    <row r="271" spans="1:32">
      <c r="B271" s="55" t="s">
        <v>9</v>
      </c>
      <c r="C271" s="40" t="s">
        <v>206</v>
      </c>
      <c r="D271" s="40" t="s">
        <v>207</v>
      </c>
      <c r="E271" s="40" t="s">
        <v>10</v>
      </c>
      <c r="F271" s="40" t="s">
        <v>11</v>
      </c>
      <c r="G271" s="48" t="s">
        <v>208</v>
      </c>
      <c r="H271" s="43"/>
      <c r="I271" s="44"/>
      <c r="J271" s="44"/>
      <c r="K271" s="44"/>
      <c r="L271" s="28"/>
      <c r="M271" s="28"/>
      <c r="N271" s="28"/>
      <c r="O271" s="28"/>
      <c r="P271" s="45"/>
      <c r="Q271" s="403"/>
      <c r="R271" s="46"/>
      <c r="S271" s="28"/>
      <c r="T271" s="28"/>
      <c r="U271" s="28"/>
      <c r="V271" s="45"/>
      <c r="W271" s="56"/>
      <c r="X271" s="44"/>
      <c r="Y271" s="44"/>
      <c r="Z271" s="44"/>
      <c r="AA271" s="414"/>
      <c r="AB271" s="194"/>
      <c r="AC271" s="194"/>
      <c r="AD271" s="194"/>
      <c r="AE271" s="194"/>
      <c r="AF271" s="194"/>
    </row>
    <row r="272" spans="1:32" s="69" customFormat="1">
      <c r="A272" s="393"/>
      <c r="B272" s="42" t="s">
        <v>237</v>
      </c>
      <c r="C272" s="62">
        <v>108974273.40000001</v>
      </c>
      <c r="D272" s="62">
        <v>14487026.75</v>
      </c>
      <c r="E272" s="376">
        <v>0</v>
      </c>
      <c r="F272" s="62">
        <v>0</v>
      </c>
      <c r="G272" s="63">
        <f>SUM(C272:F272)</f>
        <v>123461300.15000001</v>
      </c>
      <c r="H272" s="64">
        <v>14930264.779999999</v>
      </c>
      <c r="I272" s="65">
        <f>+C272+D272</f>
        <v>123461300.15000001</v>
      </c>
      <c r="J272" s="65">
        <f>+I272*100/I292</f>
        <v>26.312440424375573</v>
      </c>
      <c r="K272" s="65">
        <f>+H272*J272/100</f>
        <v>3928517.0254390286</v>
      </c>
      <c r="L272" s="65">
        <v>0</v>
      </c>
      <c r="M272" s="65">
        <v>0</v>
      </c>
      <c r="N272" s="65">
        <v>0</v>
      </c>
      <c r="O272" s="65">
        <v>0</v>
      </c>
      <c r="P272" s="66">
        <f t="shared" ref="P272:P292" si="316">SUM(L272:O272)</f>
        <v>0</v>
      </c>
      <c r="Q272" s="406"/>
      <c r="R272" s="46">
        <f>+C272+L272</f>
        <v>108974273.40000001</v>
      </c>
      <c r="S272" s="46">
        <f t="shared" ref="S272:U287" si="317">+D272+M272</f>
        <v>14487026.75</v>
      </c>
      <c r="T272" s="46">
        <f t="shared" si="317"/>
        <v>0</v>
      </c>
      <c r="U272" s="46">
        <f>+F272+O272</f>
        <v>0</v>
      </c>
      <c r="V272" s="45">
        <f>SUM(R272:U272)</f>
        <v>123461300.15000001</v>
      </c>
      <c r="W272" s="67"/>
      <c r="X272" s="68"/>
      <c r="Y272" s="68"/>
      <c r="Z272" s="68"/>
      <c r="AA272" s="415"/>
      <c r="AB272" s="79"/>
      <c r="AC272" s="79"/>
      <c r="AD272" s="79"/>
      <c r="AE272" s="79"/>
      <c r="AF272" s="79"/>
    </row>
    <row r="273" spans="1:32" s="69" customFormat="1">
      <c r="A273" s="393"/>
      <c r="B273" s="42" t="s">
        <v>238</v>
      </c>
      <c r="C273" s="62">
        <v>328023440.37</v>
      </c>
      <c r="D273" s="62">
        <v>17727913.870000001</v>
      </c>
      <c r="E273" s="376">
        <v>9963717.0500000007</v>
      </c>
      <c r="F273" s="62">
        <v>18004452.859999999</v>
      </c>
      <c r="G273" s="63">
        <f t="shared" ref="G273:G291" si="318">SUM(C273:F273)</f>
        <v>373719524.15000004</v>
      </c>
      <c r="H273" s="64"/>
      <c r="I273" s="65">
        <f>+C273+D273</f>
        <v>345751354.24000001</v>
      </c>
      <c r="J273" s="65">
        <f>+I273*100/I292</f>
        <v>73.687559575624434</v>
      </c>
      <c r="K273" s="65">
        <f>+H272*J273/100</f>
        <v>11001747.754560972</v>
      </c>
      <c r="L273" s="65">
        <v>0</v>
      </c>
      <c r="M273" s="65">
        <v>0</v>
      </c>
      <c r="N273" s="65">
        <v>0</v>
      </c>
      <c r="O273" s="65">
        <v>0</v>
      </c>
      <c r="P273" s="66">
        <f t="shared" si="316"/>
        <v>0</v>
      </c>
      <c r="Q273" s="406"/>
      <c r="R273" s="46">
        <f t="shared" ref="R273:R291" si="319">+C273+L273</f>
        <v>328023440.37</v>
      </c>
      <c r="S273" s="46">
        <f t="shared" si="317"/>
        <v>17727913.870000001</v>
      </c>
      <c r="T273" s="46">
        <v>0</v>
      </c>
      <c r="U273" s="46">
        <f t="shared" si="317"/>
        <v>18004452.859999999</v>
      </c>
      <c r="V273" s="45">
        <f t="shared" ref="V273:V291" si="320">SUM(R273:U273)</f>
        <v>363755807.10000002</v>
      </c>
      <c r="W273" s="67"/>
      <c r="X273" s="68"/>
      <c r="Y273" s="68"/>
      <c r="Z273" s="68"/>
      <c r="AA273" s="415"/>
      <c r="AB273" s="79"/>
      <c r="AC273" s="79"/>
      <c r="AD273" s="79"/>
      <c r="AE273" s="79"/>
      <c r="AF273" s="79"/>
    </row>
    <row r="274" spans="1:32" s="69" customFormat="1">
      <c r="A274" s="393"/>
      <c r="B274" s="70" t="s">
        <v>239</v>
      </c>
      <c r="C274" s="62">
        <v>375403</v>
      </c>
      <c r="D274" s="376">
        <v>0</v>
      </c>
      <c r="E274" s="376">
        <v>0</v>
      </c>
      <c r="F274" s="376">
        <v>0</v>
      </c>
      <c r="G274" s="63">
        <f t="shared" si="318"/>
        <v>375403</v>
      </c>
      <c r="H274" s="64"/>
      <c r="I274" s="65"/>
      <c r="J274" s="68"/>
      <c r="K274" s="68"/>
      <c r="L274" s="65">
        <v>0</v>
      </c>
      <c r="M274" s="65">
        <v>0</v>
      </c>
      <c r="N274" s="65">
        <v>0</v>
      </c>
      <c r="O274" s="65">
        <v>0</v>
      </c>
      <c r="P274" s="66">
        <f t="shared" si="316"/>
        <v>0</v>
      </c>
      <c r="Q274" s="406"/>
      <c r="R274" s="46">
        <f t="shared" si="319"/>
        <v>375403</v>
      </c>
      <c r="S274" s="46">
        <f t="shared" si="317"/>
        <v>0</v>
      </c>
      <c r="T274" s="46">
        <f t="shared" si="317"/>
        <v>0</v>
      </c>
      <c r="U274" s="46">
        <f t="shared" si="317"/>
        <v>0</v>
      </c>
      <c r="V274" s="45">
        <f t="shared" si="320"/>
        <v>375403</v>
      </c>
      <c r="W274" s="67"/>
      <c r="X274" s="68"/>
      <c r="Y274" s="68"/>
      <c r="Z274" s="68"/>
      <c r="AA274" s="415"/>
      <c r="AB274" s="79"/>
      <c r="AC274" s="79"/>
      <c r="AD274" s="79"/>
      <c r="AE274" s="79"/>
      <c r="AF274" s="79"/>
    </row>
    <row r="275" spans="1:32" s="69" customFormat="1">
      <c r="A275" s="393"/>
      <c r="B275" s="70" t="s">
        <v>240</v>
      </c>
      <c r="C275" s="62">
        <v>1271461</v>
      </c>
      <c r="D275" s="62">
        <v>0</v>
      </c>
      <c r="E275" s="62">
        <v>0</v>
      </c>
      <c r="F275" s="62">
        <v>0</v>
      </c>
      <c r="G275" s="63">
        <f t="shared" si="318"/>
        <v>1271461</v>
      </c>
      <c r="H275" s="64"/>
      <c r="I275" s="65"/>
      <c r="J275" s="68"/>
      <c r="K275" s="68"/>
      <c r="L275" s="65">
        <v>0</v>
      </c>
      <c r="M275" s="65">
        <v>0</v>
      </c>
      <c r="N275" s="65">
        <v>0</v>
      </c>
      <c r="O275" s="65">
        <v>0</v>
      </c>
      <c r="P275" s="66">
        <f t="shared" si="316"/>
        <v>0</v>
      </c>
      <c r="Q275" s="406"/>
      <c r="R275" s="46">
        <f t="shared" si="319"/>
        <v>1271461</v>
      </c>
      <c r="S275" s="46">
        <f t="shared" si="317"/>
        <v>0</v>
      </c>
      <c r="T275" s="46">
        <f t="shared" si="317"/>
        <v>0</v>
      </c>
      <c r="U275" s="46">
        <f t="shared" si="317"/>
        <v>0</v>
      </c>
      <c r="V275" s="45">
        <f t="shared" si="320"/>
        <v>1271461</v>
      </c>
      <c r="W275" s="67"/>
      <c r="X275" s="68"/>
      <c r="Y275" s="68"/>
      <c r="Z275" s="68"/>
      <c r="AA275" s="415"/>
      <c r="AB275" s="79"/>
      <c r="AC275" s="79"/>
      <c r="AD275" s="79"/>
      <c r="AE275" s="79"/>
      <c r="AF275" s="79"/>
    </row>
    <row r="276" spans="1:32" s="69" customFormat="1">
      <c r="A276" s="393"/>
      <c r="B276" s="42" t="s">
        <v>241</v>
      </c>
      <c r="C276" s="62">
        <v>0</v>
      </c>
      <c r="D276" s="62">
        <v>0</v>
      </c>
      <c r="E276" s="62">
        <v>0</v>
      </c>
      <c r="F276" s="62">
        <v>0</v>
      </c>
      <c r="G276" s="63">
        <f t="shared" si="318"/>
        <v>0</v>
      </c>
      <c r="H276" s="64"/>
      <c r="I276" s="65"/>
      <c r="J276" s="68"/>
      <c r="K276" s="68"/>
      <c r="L276" s="65">
        <v>0</v>
      </c>
      <c r="M276" s="65">
        <v>0</v>
      </c>
      <c r="N276" s="65">
        <v>0</v>
      </c>
      <c r="O276" s="65">
        <v>0</v>
      </c>
      <c r="P276" s="66">
        <f t="shared" si="316"/>
        <v>0</v>
      </c>
      <c r="Q276" s="406"/>
      <c r="R276" s="46">
        <f t="shared" si="319"/>
        <v>0</v>
      </c>
      <c r="S276" s="46">
        <f t="shared" si="317"/>
        <v>0</v>
      </c>
      <c r="T276" s="46">
        <f t="shared" si="317"/>
        <v>0</v>
      </c>
      <c r="U276" s="46">
        <f t="shared" si="317"/>
        <v>0</v>
      </c>
      <c r="V276" s="45">
        <f t="shared" si="320"/>
        <v>0</v>
      </c>
      <c r="W276" s="67"/>
      <c r="X276" s="68"/>
      <c r="Y276" s="68"/>
      <c r="Z276" s="68"/>
      <c r="AA276" s="415"/>
      <c r="AB276" s="79"/>
      <c r="AC276" s="79"/>
      <c r="AD276" s="79"/>
      <c r="AE276" s="79"/>
      <c r="AF276" s="79"/>
    </row>
    <row r="277" spans="1:32" s="69" customFormat="1">
      <c r="A277" s="393"/>
      <c r="B277" s="42" t="s">
        <v>242</v>
      </c>
      <c r="C277" s="62">
        <v>0</v>
      </c>
      <c r="D277" s="376">
        <v>0</v>
      </c>
      <c r="E277" s="376">
        <v>0</v>
      </c>
      <c r="F277" s="376">
        <v>0</v>
      </c>
      <c r="G277" s="63">
        <f t="shared" si="318"/>
        <v>0</v>
      </c>
      <c r="H277" s="64"/>
      <c r="I277" s="65"/>
      <c r="J277" s="68"/>
      <c r="K277" s="68"/>
      <c r="L277" s="65">
        <v>0</v>
      </c>
      <c r="M277" s="65">
        <v>0</v>
      </c>
      <c r="N277" s="65">
        <v>0</v>
      </c>
      <c r="O277" s="65">
        <v>0</v>
      </c>
      <c r="P277" s="66">
        <f t="shared" si="316"/>
        <v>0</v>
      </c>
      <c r="Q277" s="406"/>
      <c r="R277" s="46">
        <f t="shared" si="319"/>
        <v>0</v>
      </c>
      <c r="S277" s="46">
        <f t="shared" si="317"/>
        <v>0</v>
      </c>
      <c r="T277" s="46">
        <f t="shared" si="317"/>
        <v>0</v>
      </c>
      <c r="U277" s="46">
        <f t="shared" si="317"/>
        <v>0</v>
      </c>
      <c r="V277" s="45">
        <f t="shared" si="320"/>
        <v>0</v>
      </c>
      <c r="W277" s="67"/>
      <c r="X277" s="68"/>
      <c r="Y277" s="68"/>
      <c r="Z277" s="68"/>
      <c r="AA277" s="415"/>
      <c r="AB277" s="79"/>
      <c r="AC277" s="79"/>
      <c r="AD277" s="79"/>
      <c r="AE277" s="79"/>
      <c r="AF277" s="79"/>
    </row>
    <row r="278" spans="1:32" s="69" customFormat="1">
      <c r="A278" s="393"/>
      <c r="B278" s="50" t="s">
        <v>438</v>
      </c>
      <c r="C278" s="65">
        <v>0</v>
      </c>
      <c r="D278" s="62">
        <v>0</v>
      </c>
      <c r="E278" s="62">
        <v>0</v>
      </c>
      <c r="F278" s="62">
        <v>0</v>
      </c>
      <c r="G278" s="63">
        <f t="shared" si="318"/>
        <v>0</v>
      </c>
      <c r="H278" s="64"/>
      <c r="I278" s="65"/>
      <c r="J278" s="68"/>
      <c r="K278" s="68"/>
      <c r="L278" s="65">
        <v>0</v>
      </c>
      <c r="M278" s="65">
        <v>0</v>
      </c>
      <c r="N278" s="65">
        <v>0</v>
      </c>
      <c r="O278" s="65">
        <v>0</v>
      </c>
      <c r="P278" s="66">
        <f t="shared" si="316"/>
        <v>0</v>
      </c>
      <c r="Q278" s="406"/>
      <c r="R278" s="46">
        <f t="shared" si="319"/>
        <v>0</v>
      </c>
      <c r="S278" s="46">
        <f t="shared" si="317"/>
        <v>0</v>
      </c>
      <c r="T278" s="46">
        <f t="shared" si="317"/>
        <v>0</v>
      </c>
      <c r="U278" s="46">
        <f t="shared" si="317"/>
        <v>0</v>
      </c>
      <c r="V278" s="45">
        <f t="shared" si="320"/>
        <v>0</v>
      </c>
      <c r="W278" s="67"/>
      <c r="X278" s="68"/>
      <c r="Y278" s="68"/>
      <c r="Z278" s="68"/>
      <c r="AA278" s="415"/>
      <c r="AB278" s="79"/>
      <c r="AC278" s="79"/>
      <c r="AD278" s="79"/>
      <c r="AE278" s="79"/>
      <c r="AF278" s="79"/>
    </row>
    <row r="279" spans="1:32" s="69" customFormat="1">
      <c r="A279" s="393"/>
      <c r="B279" s="50" t="s">
        <v>243</v>
      </c>
      <c r="C279" s="65">
        <v>1758553</v>
      </c>
      <c r="D279" s="62">
        <v>0</v>
      </c>
      <c r="E279" s="62">
        <v>0</v>
      </c>
      <c r="F279" s="62">
        <v>0</v>
      </c>
      <c r="G279" s="63">
        <f t="shared" si="318"/>
        <v>1758553</v>
      </c>
      <c r="H279" s="64"/>
      <c r="I279" s="65"/>
      <c r="J279" s="68"/>
      <c r="K279" s="68"/>
      <c r="L279" s="65">
        <v>0</v>
      </c>
      <c r="M279" s="65">
        <v>0</v>
      </c>
      <c r="N279" s="65">
        <v>0</v>
      </c>
      <c r="O279" s="65">
        <v>0</v>
      </c>
      <c r="P279" s="66">
        <f t="shared" si="316"/>
        <v>0</v>
      </c>
      <c r="Q279" s="406"/>
      <c r="R279" s="46">
        <f t="shared" si="319"/>
        <v>1758553</v>
      </c>
      <c r="S279" s="46">
        <f t="shared" si="317"/>
        <v>0</v>
      </c>
      <c r="T279" s="46">
        <f t="shared" si="317"/>
        <v>0</v>
      </c>
      <c r="U279" s="46">
        <f t="shared" si="317"/>
        <v>0</v>
      </c>
      <c r="V279" s="45">
        <f t="shared" si="320"/>
        <v>1758553</v>
      </c>
      <c r="W279" s="67"/>
      <c r="X279" s="68"/>
      <c r="Y279" s="68"/>
      <c r="Z279" s="68"/>
      <c r="AA279" s="415"/>
      <c r="AB279" s="79"/>
      <c r="AC279" s="79"/>
      <c r="AD279" s="79"/>
      <c r="AE279" s="79"/>
      <c r="AF279" s="79"/>
    </row>
    <row r="280" spans="1:32" s="69" customFormat="1">
      <c r="A280" s="393"/>
      <c r="B280" s="50" t="s">
        <v>244</v>
      </c>
      <c r="C280" s="65">
        <v>0</v>
      </c>
      <c r="D280" s="376">
        <v>0</v>
      </c>
      <c r="E280" s="376">
        <v>0</v>
      </c>
      <c r="F280" s="376">
        <v>0</v>
      </c>
      <c r="G280" s="63">
        <f t="shared" si="318"/>
        <v>0</v>
      </c>
      <c r="H280" s="64"/>
      <c r="I280" s="65"/>
      <c r="J280" s="68"/>
      <c r="K280" s="68"/>
      <c r="L280" s="65">
        <v>0</v>
      </c>
      <c r="M280" s="65">
        <v>0</v>
      </c>
      <c r="N280" s="65">
        <v>0</v>
      </c>
      <c r="O280" s="65">
        <v>0</v>
      </c>
      <c r="P280" s="66">
        <f t="shared" si="316"/>
        <v>0</v>
      </c>
      <c r="Q280" s="406"/>
      <c r="R280" s="46">
        <f t="shared" si="319"/>
        <v>0</v>
      </c>
      <c r="S280" s="46">
        <f t="shared" si="317"/>
        <v>0</v>
      </c>
      <c r="T280" s="46">
        <f t="shared" si="317"/>
        <v>0</v>
      </c>
      <c r="U280" s="46">
        <f t="shared" si="317"/>
        <v>0</v>
      </c>
      <c r="V280" s="45">
        <f t="shared" si="320"/>
        <v>0</v>
      </c>
      <c r="W280" s="67"/>
      <c r="X280" s="68"/>
      <c r="Y280" s="68"/>
      <c r="Z280" s="68"/>
      <c r="AA280" s="415"/>
      <c r="AB280" s="79"/>
      <c r="AC280" s="79"/>
      <c r="AD280" s="79"/>
      <c r="AE280" s="79"/>
      <c r="AF280" s="79"/>
    </row>
    <row r="281" spans="1:32" s="69" customFormat="1">
      <c r="A281" s="393"/>
      <c r="B281" s="50" t="s">
        <v>245</v>
      </c>
      <c r="C281" s="65">
        <v>0</v>
      </c>
      <c r="D281" s="62">
        <v>0</v>
      </c>
      <c r="E281" s="62">
        <v>0</v>
      </c>
      <c r="F281" s="62">
        <v>0</v>
      </c>
      <c r="G281" s="63">
        <f t="shared" si="318"/>
        <v>0</v>
      </c>
      <c r="H281" s="64"/>
      <c r="I281" s="65"/>
      <c r="J281" s="68"/>
      <c r="K281" s="68"/>
      <c r="L281" s="65">
        <v>0</v>
      </c>
      <c r="M281" s="65">
        <v>0</v>
      </c>
      <c r="N281" s="65">
        <v>0</v>
      </c>
      <c r="O281" s="65">
        <v>0</v>
      </c>
      <c r="P281" s="66">
        <f t="shared" si="316"/>
        <v>0</v>
      </c>
      <c r="Q281" s="406"/>
      <c r="R281" s="46">
        <f t="shared" si="319"/>
        <v>0</v>
      </c>
      <c r="S281" s="46">
        <f t="shared" si="317"/>
        <v>0</v>
      </c>
      <c r="T281" s="46">
        <f t="shared" si="317"/>
        <v>0</v>
      </c>
      <c r="U281" s="46">
        <f t="shared" si="317"/>
        <v>0</v>
      </c>
      <c r="V281" s="45">
        <f t="shared" si="320"/>
        <v>0</v>
      </c>
      <c r="W281" s="67"/>
      <c r="X281" s="68"/>
      <c r="Y281" s="68"/>
      <c r="Z281" s="68"/>
      <c r="AA281" s="415"/>
      <c r="AB281" s="79"/>
      <c r="AC281" s="79"/>
      <c r="AD281" s="79"/>
      <c r="AE281" s="79"/>
      <c r="AF281" s="79"/>
    </row>
    <row r="282" spans="1:32" s="69" customFormat="1">
      <c r="A282" s="393"/>
      <c r="B282" s="50" t="s">
        <v>246</v>
      </c>
      <c r="C282" s="65">
        <v>0</v>
      </c>
      <c r="D282" s="62">
        <v>0</v>
      </c>
      <c r="E282" s="62">
        <v>0</v>
      </c>
      <c r="F282" s="62">
        <v>0</v>
      </c>
      <c r="G282" s="63">
        <f t="shared" si="318"/>
        <v>0</v>
      </c>
      <c r="H282" s="64"/>
      <c r="I282" s="65"/>
      <c r="J282" s="68"/>
      <c r="K282" s="68"/>
      <c r="L282" s="65">
        <v>0</v>
      </c>
      <c r="M282" s="65">
        <v>0</v>
      </c>
      <c r="N282" s="65">
        <v>0</v>
      </c>
      <c r="O282" s="65">
        <v>0</v>
      </c>
      <c r="P282" s="66">
        <f t="shared" si="316"/>
        <v>0</v>
      </c>
      <c r="Q282" s="406"/>
      <c r="R282" s="46">
        <f t="shared" si="319"/>
        <v>0</v>
      </c>
      <c r="S282" s="46">
        <f t="shared" si="317"/>
        <v>0</v>
      </c>
      <c r="T282" s="46">
        <f t="shared" si="317"/>
        <v>0</v>
      </c>
      <c r="U282" s="46">
        <f t="shared" si="317"/>
        <v>0</v>
      </c>
      <c r="V282" s="45">
        <f t="shared" si="320"/>
        <v>0</v>
      </c>
      <c r="W282" s="67"/>
      <c r="X282" s="68"/>
      <c r="Y282" s="68"/>
      <c r="Z282" s="68"/>
      <c r="AA282" s="415"/>
      <c r="AB282" s="79"/>
      <c r="AC282" s="79"/>
      <c r="AD282" s="79"/>
      <c r="AE282" s="79"/>
      <c r="AF282" s="79"/>
    </row>
    <row r="283" spans="1:32" s="69" customFormat="1">
      <c r="A283" s="393"/>
      <c r="B283" s="50" t="s">
        <v>247</v>
      </c>
      <c r="C283" s="65">
        <v>0</v>
      </c>
      <c r="D283" s="376">
        <v>0</v>
      </c>
      <c r="E283" s="376">
        <v>0</v>
      </c>
      <c r="F283" s="376">
        <v>0</v>
      </c>
      <c r="G283" s="63">
        <f t="shared" si="318"/>
        <v>0</v>
      </c>
      <c r="H283" s="64"/>
      <c r="I283" s="65"/>
      <c r="J283" s="68"/>
      <c r="K283" s="68"/>
      <c r="L283" s="65">
        <v>0</v>
      </c>
      <c r="M283" s="65">
        <v>0</v>
      </c>
      <c r="N283" s="65">
        <v>0</v>
      </c>
      <c r="O283" s="65">
        <v>0</v>
      </c>
      <c r="P283" s="66">
        <f t="shared" si="316"/>
        <v>0</v>
      </c>
      <c r="Q283" s="406"/>
      <c r="R283" s="46">
        <f t="shared" si="319"/>
        <v>0</v>
      </c>
      <c r="S283" s="46">
        <f t="shared" si="317"/>
        <v>0</v>
      </c>
      <c r="T283" s="46">
        <f t="shared" si="317"/>
        <v>0</v>
      </c>
      <c r="U283" s="46">
        <f t="shared" si="317"/>
        <v>0</v>
      </c>
      <c r="V283" s="45">
        <f t="shared" si="320"/>
        <v>0</v>
      </c>
      <c r="W283" s="67"/>
      <c r="X283" s="68"/>
      <c r="Y283" s="68"/>
      <c r="Z283" s="68"/>
      <c r="AA283" s="415"/>
      <c r="AB283" s="79"/>
      <c r="AC283" s="79"/>
      <c r="AD283" s="79"/>
      <c r="AE283" s="79"/>
      <c r="AF283" s="79"/>
    </row>
    <row r="284" spans="1:32" s="69" customFormat="1">
      <c r="A284" s="393"/>
      <c r="B284" s="50" t="s">
        <v>248</v>
      </c>
      <c r="C284" s="65">
        <v>0</v>
      </c>
      <c r="D284" s="62">
        <v>0</v>
      </c>
      <c r="E284" s="62">
        <v>0</v>
      </c>
      <c r="F284" s="62">
        <v>0</v>
      </c>
      <c r="G284" s="63">
        <f t="shared" si="318"/>
        <v>0</v>
      </c>
      <c r="H284" s="64"/>
      <c r="I284" s="65"/>
      <c r="J284" s="68"/>
      <c r="K284" s="68"/>
      <c r="L284" s="65">
        <v>0</v>
      </c>
      <c r="M284" s="65">
        <v>0</v>
      </c>
      <c r="N284" s="65">
        <v>0</v>
      </c>
      <c r="O284" s="65">
        <v>0</v>
      </c>
      <c r="P284" s="66">
        <f t="shared" si="316"/>
        <v>0</v>
      </c>
      <c r="Q284" s="406"/>
      <c r="R284" s="46">
        <f t="shared" si="319"/>
        <v>0</v>
      </c>
      <c r="S284" s="46">
        <f t="shared" si="317"/>
        <v>0</v>
      </c>
      <c r="T284" s="46">
        <f t="shared" si="317"/>
        <v>0</v>
      </c>
      <c r="U284" s="46">
        <f t="shared" si="317"/>
        <v>0</v>
      </c>
      <c r="V284" s="45">
        <f t="shared" si="320"/>
        <v>0</v>
      </c>
      <c r="W284" s="67"/>
      <c r="X284" s="68"/>
      <c r="Y284" s="68"/>
      <c r="Z284" s="68"/>
      <c r="AA284" s="415"/>
      <c r="AB284" s="79"/>
      <c r="AC284" s="79"/>
      <c r="AD284" s="79"/>
      <c r="AE284" s="79"/>
      <c r="AF284" s="79"/>
    </row>
    <row r="285" spans="1:32" s="69" customFormat="1">
      <c r="A285" s="393"/>
      <c r="B285" s="50" t="s">
        <v>249</v>
      </c>
      <c r="C285" s="65">
        <v>0</v>
      </c>
      <c r="D285" s="62">
        <v>0</v>
      </c>
      <c r="E285" s="62">
        <v>0</v>
      </c>
      <c r="F285" s="62">
        <v>0</v>
      </c>
      <c r="G285" s="63">
        <f t="shared" si="318"/>
        <v>0</v>
      </c>
      <c r="H285" s="64"/>
      <c r="I285" s="65"/>
      <c r="J285" s="68"/>
      <c r="K285" s="68"/>
      <c r="L285" s="65">
        <v>0</v>
      </c>
      <c r="M285" s="65">
        <v>0</v>
      </c>
      <c r="N285" s="65">
        <v>0</v>
      </c>
      <c r="O285" s="65">
        <v>0</v>
      </c>
      <c r="P285" s="66">
        <f t="shared" si="316"/>
        <v>0</v>
      </c>
      <c r="Q285" s="406"/>
      <c r="R285" s="46">
        <f t="shared" si="319"/>
        <v>0</v>
      </c>
      <c r="S285" s="46">
        <f t="shared" si="317"/>
        <v>0</v>
      </c>
      <c r="T285" s="46">
        <f t="shared" si="317"/>
        <v>0</v>
      </c>
      <c r="U285" s="46">
        <f t="shared" si="317"/>
        <v>0</v>
      </c>
      <c r="V285" s="45">
        <f t="shared" si="320"/>
        <v>0</v>
      </c>
      <c r="W285" s="67"/>
      <c r="X285" s="68"/>
      <c r="Y285" s="68"/>
      <c r="Z285" s="68"/>
      <c r="AA285" s="415"/>
      <c r="AB285" s="79"/>
      <c r="AC285" s="79"/>
      <c r="AD285" s="79"/>
      <c r="AE285" s="79"/>
      <c r="AF285" s="79"/>
    </row>
    <row r="286" spans="1:32" s="69" customFormat="1">
      <c r="A286" s="393"/>
      <c r="B286" s="50" t="s">
        <v>250</v>
      </c>
      <c r="C286" s="65">
        <v>0</v>
      </c>
      <c r="D286" s="376">
        <v>0</v>
      </c>
      <c r="E286" s="376">
        <v>0</v>
      </c>
      <c r="F286" s="376">
        <v>0</v>
      </c>
      <c r="G286" s="63">
        <f t="shared" si="318"/>
        <v>0</v>
      </c>
      <c r="H286" s="64"/>
      <c r="I286" s="65"/>
      <c r="J286" s="68"/>
      <c r="K286" s="68"/>
      <c r="L286" s="65">
        <v>0</v>
      </c>
      <c r="M286" s="65">
        <v>0</v>
      </c>
      <c r="N286" s="65">
        <v>0</v>
      </c>
      <c r="O286" s="65">
        <v>0</v>
      </c>
      <c r="P286" s="66">
        <f t="shared" si="316"/>
        <v>0</v>
      </c>
      <c r="Q286" s="406"/>
      <c r="R286" s="46">
        <f t="shared" si="319"/>
        <v>0</v>
      </c>
      <c r="S286" s="46">
        <f t="shared" si="317"/>
        <v>0</v>
      </c>
      <c r="T286" s="46">
        <f t="shared" si="317"/>
        <v>0</v>
      </c>
      <c r="U286" s="46">
        <f t="shared" si="317"/>
        <v>0</v>
      </c>
      <c r="V286" s="45">
        <f t="shared" si="320"/>
        <v>0</v>
      </c>
      <c r="W286" s="67"/>
      <c r="X286" s="68"/>
      <c r="Y286" s="68"/>
      <c r="Z286" s="68"/>
      <c r="AA286" s="415"/>
      <c r="AB286" s="79"/>
      <c r="AC286" s="79"/>
      <c r="AD286" s="79"/>
      <c r="AE286" s="79"/>
      <c r="AF286" s="79"/>
    </row>
    <row r="287" spans="1:32" s="69" customFormat="1">
      <c r="A287" s="393"/>
      <c r="B287" s="50" t="s">
        <v>251</v>
      </c>
      <c r="C287" s="65">
        <v>0</v>
      </c>
      <c r="D287" s="62">
        <v>0</v>
      </c>
      <c r="E287" s="62">
        <v>0</v>
      </c>
      <c r="F287" s="62">
        <v>0</v>
      </c>
      <c r="G287" s="63">
        <f t="shared" si="318"/>
        <v>0</v>
      </c>
      <c r="H287" s="64"/>
      <c r="I287" s="65"/>
      <c r="J287" s="68"/>
      <c r="K287" s="68"/>
      <c r="L287" s="65">
        <v>0</v>
      </c>
      <c r="M287" s="65">
        <v>0</v>
      </c>
      <c r="N287" s="65">
        <v>0</v>
      </c>
      <c r="O287" s="65">
        <v>0</v>
      </c>
      <c r="P287" s="66">
        <f t="shared" si="316"/>
        <v>0</v>
      </c>
      <c r="Q287" s="406"/>
      <c r="R287" s="46">
        <f t="shared" si="319"/>
        <v>0</v>
      </c>
      <c r="S287" s="46">
        <f t="shared" si="317"/>
        <v>0</v>
      </c>
      <c r="T287" s="46">
        <f t="shared" si="317"/>
        <v>0</v>
      </c>
      <c r="U287" s="46">
        <f t="shared" si="317"/>
        <v>0</v>
      </c>
      <c r="V287" s="45">
        <f t="shared" si="320"/>
        <v>0</v>
      </c>
      <c r="W287" s="67"/>
      <c r="X287" s="68"/>
      <c r="Y287" s="68"/>
      <c r="Z287" s="68"/>
      <c r="AA287" s="415"/>
      <c r="AB287" s="79"/>
      <c r="AC287" s="79"/>
      <c r="AD287" s="79"/>
      <c r="AE287" s="79"/>
      <c r="AF287" s="79"/>
    </row>
    <row r="288" spans="1:32" s="69" customFormat="1">
      <c r="A288" s="393"/>
      <c r="B288" s="50" t="s">
        <v>252</v>
      </c>
      <c r="C288" s="65">
        <v>0</v>
      </c>
      <c r="D288" s="62">
        <v>0</v>
      </c>
      <c r="E288" s="62">
        <v>0</v>
      </c>
      <c r="F288" s="62">
        <v>0</v>
      </c>
      <c r="G288" s="63">
        <f t="shared" si="318"/>
        <v>0</v>
      </c>
      <c r="H288" s="64"/>
      <c r="I288" s="65"/>
      <c r="J288" s="68"/>
      <c r="K288" s="68"/>
      <c r="L288" s="65">
        <v>0</v>
      </c>
      <c r="M288" s="65">
        <v>0</v>
      </c>
      <c r="N288" s="65">
        <v>0</v>
      </c>
      <c r="O288" s="65">
        <v>0</v>
      </c>
      <c r="P288" s="66">
        <f t="shared" si="316"/>
        <v>0</v>
      </c>
      <c r="Q288" s="406"/>
      <c r="R288" s="46">
        <f t="shared" si="319"/>
        <v>0</v>
      </c>
      <c r="S288" s="46">
        <f t="shared" ref="S288:U291" si="321">+D288+M288</f>
        <v>0</v>
      </c>
      <c r="T288" s="46">
        <f t="shared" si="321"/>
        <v>0</v>
      </c>
      <c r="U288" s="46">
        <f t="shared" si="321"/>
        <v>0</v>
      </c>
      <c r="V288" s="45">
        <f t="shared" si="320"/>
        <v>0</v>
      </c>
      <c r="W288" s="67"/>
      <c r="X288" s="68"/>
      <c r="Y288" s="68"/>
      <c r="Z288" s="68"/>
      <c r="AA288" s="415"/>
      <c r="AB288" s="79"/>
      <c r="AC288" s="79"/>
      <c r="AD288" s="79"/>
      <c r="AE288" s="79"/>
      <c r="AF288" s="79"/>
    </row>
    <row r="289" spans="1:32" s="69" customFormat="1">
      <c r="A289" s="393"/>
      <c r="B289" s="50" t="s">
        <v>253</v>
      </c>
      <c r="C289" s="65">
        <v>0</v>
      </c>
      <c r="D289" s="376">
        <v>0</v>
      </c>
      <c r="E289" s="376">
        <v>0</v>
      </c>
      <c r="F289" s="376">
        <v>0</v>
      </c>
      <c r="G289" s="63">
        <f t="shared" si="318"/>
        <v>0</v>
      </c>
      <c r="H289" s="64"/>
      <c r="I289" s="65"/>
      <c r="J289" s="68"/>
      <c r="K289" s="68"/>
      <c r="L289" s="65">
        <v>0</v>
      </c>
      <c r="M289" s="65">
        <v>0</v>
      </c>
      <c r="N289" s="65">
        <v>0</v>
      </c>
      <c r="O289" s="65">
        <v>0</v>
      </c>
      <c r="P289" s="66">
        <f t="shared" si="316"/>
        <v>0</v>
      </c>
      <c r="Q289" s="406"/>
      <c r="R289" s="46">
        <f t="shared" si="319"/>
        <v>0</v>
      </c>
      <c r="S289" s="46">
        <f t="shared" si="321"/>
        <v>0</v>
      </c>
      <c r="T289" s="46">
        <f t="shared" si="321"/>
        <v>0</v>
      </c>
      <c r="U289" s="46">
        <f t="shared" si="321"/>
        <v>0</v>
      </c>
      <c r="V289" s="45">
        <f t="shared" si="320"/>
        <v>0</v>
      </c>
      <c r="W289" s="67"/>
      <c r="X289" s="68"/>
      <c r="Y289" s="68"/>
      <c r="Z289" s="68"/>
      <c r="AA289" s="415"/>
      <c r="AB289" s="79"/>
      <c r="AC289" s="79"/>
      <c r="AD289" s="79"/>
      <c r="AE289" s="79"/>
      <c r="AF289" s="79"/>
    </row>
    <row r="290" spans="1:32" s="69" customFormat="1">
      <c r="A290" s="393"/>
      <c r="B290" s="50" t="s">
        <v>254</v>
      </c>
      <c r="C290" s="65">
        <v>0</v>
      </c>
      <c r="D290" s="62">
        <v>0</v>
      </c>
      <c r="E290" s="62">
        <v>0</v>
      </c>
      <c r="F290" s="62">
        <v>0</v>
      </c>
      <c r="G290" s="63">
        <f t="shared" si="318"/>
        <v>0</v>
      </c>
      <c r="H290" s="64"/>
      <c r="I290" s="65"/>
      <c r="J290" s="68"/>
      <c r="K290" s="68"/>
      <c r="L290" s="65">
        <v>0</v>
      </c>
      <c r="M290" s="65">
        <v>0</v>
      </c>
      <c r="N290" s="65">
        <v>0</v>
      </c>
      <c r="O290" s="65">
        <v>0</v>
      </c>
      <c r="P290" s="66">
        <f t="shared" si="316"/>
        <v>0</v>
      </c>
      <c r="Q290" s="406"/>
      <c r="R290" s="46">
        <f t="shared" si="319"/>
        <v>0</v>
      </c>
      <c r="S290" s="46">
        <f t="shared" si="321"/>
        <v>0</v>
      </c>
      <c r="T290" s="46">
        <f t="shared" si="321"/>
        <v>0</v>
      </c>
      <c r="U290" s="46">
        <f t="shared" si="321"/>
        <v>0</v>
      </c>
      <c r="V290" s="45">
        <f t="shared" si="320"/>
        <v>0</v>
      </c>
      <c r="W290" s="67"/>
      <c r="X290" s="68"/>
      <c r="Y290" s="68"/>
      <c r="Z290" s="68"/>
      <c r="AA290" s="415"/>
      <c r="AB290" s="79"/>
      <c r="AC290" s="79"/>
      <c r="AD290" s="79"/>
      <c r="AE290" s="79"/>
      <c r="AF290" s="79"/>
    </row>
    <row r="291" spans="1:32" s="69" customFormat="1">
      <c r="A291" s="393"/>
      <c r="B291" s="42" t="s">
        <v>216</v>
      </c>
      <c r="C291" s="65">
        <v>0</v>
      </c>
      <c r="D291" s="62">
        <v>0</v>
      </c>
      <c r="E291" s="62">
        <v>0</v>
      </c>
      <c r="F291" s="62">
        <v>0</v>
      </c>
      <c r="G291" s="63">
        <f t="shared" si="318"/>
        <v>0</v>
      </c>
      <c r="H291" s="64"/>
      <c r="I291" s="65"/>
      <c r="J291" s="68"/>
      <c r="K291" s="68"/>
      <c r="L291" s="65">
        <v>0</v>
      </c>
      <c r="M291" s="65">
        <v>0</v>
      </c>
      <c r="N291" s="65">
        <v>0</v>
      </c>
      <c r="O291" s="65">
        <v>0</v>
      </c>
      <c r="P291" s="66">
        <f t="shared" si="316"/>
        <v>0</v>
      </c>
      <c r="Q291" s="406"/>
      <c r="R291" s="46">
        <f t="shared" si="319"/>
        <v>0</v>
      </c>
      <c r="S291" s="46">
        <f t="shared" si="321"/>
        <v>0</v>
      </c>
      <c r="T291" s="46">
        <f t="shared" si="321"/>
        <v>0</v>
      </c>
      <c r="U291" s="46">
        <f t="shared" si="321"/>
        <v>0</v>
      </c>
      <c r="V291" s="45">
        <f t="shared" si="320"/>
        <v>0</v>
      </c>
      <c r="W291" s="67"/>
      <c r="X291" s="68"/>
      <c r="Y291" s="68"/>
      <c r="Z291" s="68"/>
      <c r="AA291" s="415"/>
      <c r="AB291" s="79"/>
      <c r="AC291" s="79"/>
      <c r="AD291" s="79"/>
      <c r="AE291" s="79"/>
      <c r="AF291" s="79"/>
    </row>
    <row r="292" spans="1:32" s="69" customFormat="1">
      <c r="A292" s="393"/>
      <c r="B292" s="70"/>
      <c r="C292" s="377">
        <f>SUM(C272:C291)</f>
        <v>440403130.76999998</v>
      </c>
      <c r="D292" s="377">
        <f t="shared" ref="D292:G292" si="322">SUM(D272:D291)</f>
        <v>32214940.620000001</v>
      </c>
      <c r="E292" s="377">
        <f t="shared" si="322"/>
        <v>9963717.0500000007</v>
      </c>
      <c r="F292" s="377">
        <f t="shared" si="322"/>
        <v>18004452.859999999</v>
      </c>
      <c r="G292" s="377">
        <f t="shared" si="322"/>
        <v>500586241.30000007</v>
      </c>
      <c r="H292" s="64"/>
      <c r="I292" s="65">
        <f t="shared" ref="I292:O292" si="323">SUM(I272:I291)</f>
        <v>469212654.38999999</v>
      </c>
      <c r="J292" s="65">
        <f t="shared" si="323"/>
        <v>100</v>
      </c>
      <c r="K292" s="65">
        <f t="shared" si="323"/>
        <v>14930264.780000001</v>
      </c>
      <c r="L292" s="65">
        <f t="shared" si="323"/>
        <v>0</v>
      </c>
      <c r="M292" s="65">
        <f t="shared" si="323"/>
        <v>0</v>
      </c>
      <c r="N292" s="65">
        <f t="shared" si="323"/>
        <v>0</v>
      </c>
      <c r="O292" s="65">
        <f t="shared" si="323"/>
        <v>0</v>
      </c>
      <c r="P292" s="66">
        <f t="shared" si="316"/>
        <v>0</v>
      </c>
      <c r="Q292" s="406"/>
      <c r="R292" s="46">
        <f>SUM(R272:R291)</f>
        <v>440403130.76999998</v>
      </c>
      <c r="S292" s="46">
        <f>SUM(S272:S291)</f>
        <v>32214940.620000001</v>
      </c>
      <c r="T292" s="46">
        <f>SUM(T272:T291)</f>
        <v>0</v>
      </c>
      <c r="U292" s="46">
        <f>SUM(U272:U291)</f>
        <v>18004452.859999999</v>
      </c>
      <c r="V292" s="45">
        <f>SUM(R292:U292)</f>
        <v>490622524.25</v>
      </c>
      <c r="W292" s="67"/>
      <c r="X292" s="68"/>
      <c r="Y292" s="68"/>
      <c r="Z292" s="68"/>
      <c r="AA292" s="415"/>
      <c r="AB292" s="79"/>
      <c r="AC292" s="79"/>
      <c r="AD292" s="79"/>
      <c r="AE292" s="79"/>
      <c r="AF292" s="79"/>
    </row>
    <row r="293" spans="1:32" s="75" customFormat="1" ht="27" thickBot="1">
      <c r="A293" s="394"/>
      <c r="B293" s="71"/>
      <c r="C293" s="370"/>
      <c r="D293" s="72"/>
      <c r="E293" s="371"/>
      <c r="F293" s="72"/>
      <c r="G293" s="73"/>
      <c r="H293" s="74"/>
      <c r="L293" s="72"/>
      <c r="M293" s="72"/>
      <c r="N293" s="72"/>
      <c r="O293" s="72"/>
      <c r="P293" s="73"/>
      <c r="Q293" s="407"/>
      <c r="R293" s="27">
        <f>451782217.64-11379086.87</f>
        <v>440403130.76999998</v>
      </c>
      <c r="S293" s="27">
        <f>38840306.61-6625365.99</f>
        <v>32214940.619999997</v>
      </c>
      <c r="T293" s="27">
        <v>0</v>
      </c>
      <c r="U293" s="27">
        <f>11379086.87+6625365.99</f>
        <v>18004452.859999999</v>
      </c>
      <c r="V293" s="29">
        <f>+R293+S293+T293+U293</f>
        <v>490622524.25</v>
      </c>
      <c r="AB293" s="79"/>
      <c r="AC293" s="79"/>
      <c r="AD293" s="79"/>
      <c r="AE293" s="79"/>
      <c r="AF293" s="79"/>
    </row>
    <row r="294" spans="1:32" s="79" customFormat="1" ht="21.75" thickTop="1">
      <c r="A294" s="395"/>
      <c r="B294" s="381"/>
      <c r="C294" s="76"/>
      <c r="D294" s="76"/>
      <c r="E294" s="77"/>
      <c r="F294" s="76"/>
      <c r="G294" s="76"/>
      <c r="H294" s="78"/>
      <c r="L294" s="76"/>
      <c r="M294" s="76"/>
      <c r="N294" s="76"/>
      <c r="O294" s="76"/>
      <c r="P294" s="80"/>
      <c r="Q294" s="407"/>
      <c r="R294" s="27"/>
      <c r="S294" s="27"/>
      <c r="T294" s="27"/>
      <c r="U294" s="27"/>
      <c r="V294" s="29"/>
    </row>
    <row r="295" spans="1:32" s="69" customFormat="1">
      <c r="A295" s="393"/>
      <c r="B295" s="640" t="s">
        <v>255</v>
      </c>
      <c r="C295" s="640"/>
      <c r="D295" s="640"/>
      <c r="E295" s="640"/>
      <c r="F295" s="640"/>
      <c r="G295" s="640"/>
      <c r="H295" s="81"/>
      <c r="L295" s="82"/>
      <c r="M295" s="82"/>
      <c r="N295" s="82"/>
      <c r="O295" s="82"/>
      <c r="P295" s="80"/>
      <c r="Q295" s="407"/>
      <c r="R295" s="27"/>
      <c r="S295" s="27"/>
      <c r="T295" s="27"/>
      <c r="U295" s="27"/>
      <c r="V295" s="29"/>
      <c r="AA295" s="79"/>
      <c r="AB295" s="79"/>
      <c r="AC295" s="79"/>
      <c r="AD295" s="79"/>
      <c r="AE295" s="79"/>
      <c r="AF295" s="79"/>
    </row>
    <row r="296" spans="1:32" s="69" customFormat="1" ht="18" customHeight="1">
      <c r="A296" s="393"/>
      <c r="B296" s="70" t="s">
        <v>9</v>
      </c>
      <c r="C296" s="83" t="s">
        <v>206</v>
      </c>
      <c r="D296" s="83" t="s">
        <v>207</v>
      </c>
      <c r="E296" s="83" t="s">
        <v>10</v>
      </c>
      <c r="F296" s="83" t="s">
        <v>11</v>
      </c>
      <c r="G296" s="84" t="s">
        <v>208</v>
      </c>
      <c r="H296" s="64"/>
      <c r="I296" s="68"/>
      <c r="J296" s="68"/>
      <c r="K296" s="68"/>
      <c r="L296" s="65"/>
      <c r="M296" s="65"/>
      <c r="N296" s="65"/>
      <c r="O296" s="65"/>
      <c r="P296" s="66"/>
      <c r="Q296" s="406"/>
      <c r="R296" s="46"/>
      <c r="S296" s="28"/>
      <c r="T296" s="28"/>
      <c r="U296" s="28"/>
      <c r="V296" s="45"/>
      <c r="W296" s="67"/>
      <c r="X296" s="68"/>
      <c r="Y296" s="68"/>
      <c r="Z296" s="68"/>
      <c r="AA296" s="415"/>
      <c r="AB296" s="79"/>
      <c r="AC296" s="79"/>
      <c r="AD296" s="79"/>
      <c r="AE296" s="79"/>
      <c r="AF296" s="79"/>
    </row>
    <row r="297" spans="1:32" s="69" customFormat="1" ht="18" customHeight="1">
      <c r="A297" s="393"/>
      <c r="B297" s="42" t="s">
        <v>237</v>
      </c>
      <c r="C297" s="62">
        <v>1229183.6599999999</v>
      </c>
      <c r="D297" s="62">
        <v>341460</v>
      </c>
      <c r="E297" s="376"/>
      <c r="F297" s="62">
        <v>0</v>
      </c>
      <c r="G297" s="63">
        <f>SUM(C297:F297)</f>
        <v>1570643.66</v>
      </c>
      <c r="H297" s="64"/>
      <c r="I297" s="68"/>
      <c r="J297" s="68"/>
      <c r="K297" s="68"/>
      <c r="L297" s="65">
        <v>0</v>
      </c>
      <c r="M297" s="65">
        <v>0</v>
      </c>
      <c r="N297" s="65">
        <v>0</v>
      </c>
      <c r="O297" s="65">
        <v>0</v>
      </c>
      <c r="P297" s="65">
        <f>SUM(L297:O297)</f>
        <v>0</v>
      </c>
      <c r="Q297" s="408"/>
      <c r="R297" s="641" t="s">
        <v>402</v>
      </c>
      <c r="S297" s="641"/>
      <c r="T297" s="641"/>
      <c r="U297" s="641"/>
      <c r="V297" s="642"/>
      <c r="W297" s="67"/>
      <c r="X297" s="68"/>
      <c r="Y297" s="68"/>
      <c r="Z297" s="68"/>
      <c r="AA297" s="415"/>
      <c r="AB297" s="79"/>
      <c r="AC297" s="79"/>
      <c r="AD297" s="79"/>
      <c r="AE297" s="79"/>
      <c r="AF297" s="79"/>
    </row>
    <row r="298" spans="1:32" s="69" customFormat="1" ht="18" customHeight="1">
      <c r="A298" s="393"/>
      <c r="B298" s="42" t="s">
        <v>238</v>
      </c>
      <c r="C298" s="62">
        <v>8813074.5500000007</v>
      </c>
      <c r="D298" s="62">
        <v>4391737</v>
      </c>
      <c r="E298" s="376"/>
      <c r="F298" s="62">
        <v>0</v>
      </c>
      <c r="G298" s="63">
        <f t="shared" ref="G298:G316" si="324">SUM(C298:F298)</f>
        <v>13204811.550000001</v>
      </c>
      <c r="H298" s="64"/>
      <c r="I298" s="68"/>
      <c r="J298" s="68"/>
      <c r="K298" s="68"/>
      <c r="L298" s="65">
        <v>0</v>
      </c>
      <c r="M298" s="65">
        <v>0</v>
      </c>
      <c r="N298" s="65">
        <v>0</v>
      </c>
      <c r="O298" s="65">
        <v>0</v>
      </c>
      <c r="P298" s="65">
        <f t="shared" ref="P298:P316" si="325">SUM(L298:O298)</f>
        <v>0</v>
      </c>
      <c r="Q298" s="407"/>
      <c r="R298" s="643"/>
      <c r="S298" s="643"/>
      <c r="T298" s="643"/>
      <c r="U298" s="643"/>
      <c r="V298" s="644"/>
      <c r="W298" s="67"/>
      <c r="X298" s="68"/>
      <c r="Y298" s="68"/>
      <c r="Z298" s="68"/>
      <c r="AA298" s="415"/>
      <c r="AB298" s="79"/>
      <c r="AC298" s="79"/>
      <c r="AD298" s="79"/>
      <c r="AE298" s="79"/>
      <c r="AF298" s="79"/>
    </row>
    <row r="299" spans="1:32" s="69" customFormat="1" ht="18" customHeight="1">
      <c r="A299" s="393"/>
      <c r="B299" s="70" t="s">
        <v>239</v>
      </c>
      <c r="C299" s="62">
        <v>0</v>
      </c>
      <c r="D299" s="376">
        <v>0</v>
      </c>
      <c r="E299" s="376">
        <v>0</v>
      </c>
      <c r="F299" s="376">
        <v>0</v>
      </c>
      <c r="G299" s="63">
        <f t="shared" si="324"/>
        <v>0</v>
      </c>
      <c r="H299" s="64"/>
      <c r="I299" s="68"/>
      <c r="J299" s="68"/>
      <c r="K299" s="68"/>
      <c r="L299" s="65">
        <v>0</v>
      </c>
      <c r="M299" s="65">
        <v>0</v>
      </c>
      <c r="N299" s="65">
        <v>0</v>
      </c>
      <c r="O299" s="65">
        <v>0</v>
      </c>
      <c r="P299" s="65">
        <f t="shared" si="325"/>
        <v>0</v>
      </c>
      <c r="Q299" s="407"/>
      <c r="R299" s="643"/>
      <c r="S299" s="643"/>
      <c r="T299" s="643"/>
      <c r="U299" s="643"/>
      <c r="V299" s="644"/>
      <c r="W299" s="67"/>
      <c r="X299" s="68"/>
      <c r="Y299" s="68"/>
      <c r="Z299" s="68"/>
      <c r="AA299" s="415"/>
      <c r="AB299" s="79"/>
      <c r="AC299" s="79"/>
      <c r="AD299" s="79"/>
      <c r="AE299" s="79"/>
      <c r="AF299" s="79"/>
    </row>
    <row r="300" spans="1:32" s="69" customFormat="1" ht="18" customHeight="1">
      <c r="A300" s="393"/>
      <c r="B300" s="70" t="s">
        <v>240</v>
      </c>
      <c r="C300" s="62">
        <v>0</v>
      </c>
      <c r="D300" s="62">
        <v>0</v>
      </c>
      <c r="E300" s="376">
        <v>0</v>
      </c>
      <c r="F300" s="62">
        <v>0</v>
      </c>
      <c r="G300" s="63">
        <f t="shared" si="324"/>
        <v>0</v>
      </c>
      <c r="H300" s="64"/>
      <c r="I300" s="68"/>
      <c r="J300" s="68"/>
      <c r="K300" s="68"/>
      <c r="L300" s="65">
        <v>0</v>
      </c>
      <c r="M300" s="65">
        <v>0</v>
      </c>
      <c r="N300" s="65">
        <v>0</v>
      </c>
      <c r="O300" s="65">
        <v>0</v>
      </c>
      <c r="P300" s="65">
        <f t="shared" si="325"/>
        <v>0</v>
      </c>
      <c r="Q300" s="407"/>
      <c r="R300" s="643"/>
      <c r="S300" s="643"/>
      <c r="T300" s="643"/>
      <c r="U300" s="643"/>
      <c r="V300" s="644"/>
      <c r="W300" s="67"/>
      <c r="X300" s="68"/>
      <c r="Y300" s="68"/>
      <c r="Z300" s="68"/>
      <c r="AA300" s="415"/>
      <c r="AB300" s="79"/>
      <c r="AC300" s="79"/>
      <c r="AD300" s="79"/>
      <c r="AE300" s="79"/>
      <c r="AF300" s="79"/>
    </row>
    <row r="301" spans="1:32" s="69" customFormat="1" ht="18" customHeight="1">
      <c r="A301" s="393"/>
      <c r="B301" s="42" t="s">
        <v>241</v>
      </c>
      <c r="C301" s="62">
        <v>0</v>
      </c>
      <c r="D301" s="62">
        <v>0</v>
      </c>
      <c r="E301" s="376">
        <v>0</v>
      </c>
      <c r="F301" s="62">
        <v>0</v>
      </c>
      <c r="G301" s="63">
        <f t="shared" si="324"/>
        <v>0</v>
      </c>
      <c r="H301" s="64"/>
      <c r="I301" s="68"/>
      <c r="J301" s="68"/>
      <c r="K301" s="68"/>
      <c r="L301" s="65">
        <v>0</v>
      </c>
      <c r="M301" s="65">
        <v>0</v>
      </c>
      <c r="N301" s="65">
        <v>0</v>
      </c>
      <c r="O301" s="65">
        <v>0</v>
      </c>
      <c r="P301" s="65">
        <f t="shared" si="325"/>
        <v>0</v>
      </c>
      <c r="Q301" s="407"/>
      <c r="R301" s="643"/>
      <c r="S301" s="643"/>
      <c r="T301" s="643"/>
      <c r="U301" s="643"/>
      <c r="V301" s="644"/>
      <c r="W301" s="67"/>
      <c r="X301" s="68"/>
      <c r="Y301" s="68"/>
      <c r="Z301" s="68"/>
      <c r="AA301" s="415"/>
      <c r="AB301" s="79"/>
      <c r="AC301" s="79"/>
      <c r="AD301" s="79"/>
      <c r="AE301" s="79"/>
      <c r="AF301" s="79"/>
    </row>
    <row r="302" spans="1:32" s="69" customFormat="1" ht="18" customHeight="1">
      <c r="A302" s="393"/>
      <c r="B302" s="42" t="s">
        <v>242</v>
      </c>
      <c r="C302" s="62">
        <v>0</v>
      </c>
      <c r="D302" s="62">
        <v>0</v>
      </c>
      <c r="E302" s="376">
        <v>0</v>
      </c>
      <c r="F302" s="62">
        <v>0</v>
      </c>
      <c r="G302" s="63">
        <f t="shared" si="324"/>
        <v>0</v>
      </c>
      <c r="H302" s="64"/>
      <c r="I302" s="68"/>
      <c r="J302" s="68"/>
      <c r="K302" s="68"/>
      <c r="L302" s="65">
        <v>0</v>
      </c>
      <c r="M302" s="65">
        <v>0</v>
      </c>
      <c r="N302" s="65">
        <v>0</v>
      </c>
      <c r="O302" s="65">
        <v>0</v>
      </c>
      <c r="P302" s="65">
        <f t="shared" si="325"/>
        <v>0</v>
      </c>
      <c r="Q302" s="407"/>
      <c r="R302" s="643"/>
      <c r="S302" s="643"/>
      <c r="T302" s="643"/>
      <c r="U302" s="643"/>
      <c r="V302" s="644"/>
      <c r="W302" s="67"/>
      <c r="X302" s="68"/>
      <c r="Y302" s="68"/>
      <c r="Z302" s="68"/>
      <c r="AA302" s="415"/>
      <c r="AB302" s="79"/>
      <c r="AC302" s="79"/>
      <c r="AD302" s="79"/>
      <c r="AE302" s="79"/>
      <c r="AF302" s="79"/>
    </row>
    <row r="303" spans="1:32" s="69" customFormat="1" ht="18" customHeight="1">
      <c r="A303" s="393"/>
      <c r="B303" s="50" t="s">
        <v>438</v>
      </c>
      <c r="C303" s="65">
        <v>0</v>
      </c>
      <c r="D303" s="65">
        <v>0</v>
      </c>
      <c r="E303" s="83">
        <v>0</v>
      </c>
      <c r="F303" s="65">
        <v>0</v>
      </c>
      <c r="G303" s="63">
        <f t="shared" si="324"/>
        <v>0</v>
      </c>
      <c r="H303" s="64"/>
      <c r="I303" s="68"/>
      <c r="J303" s="68"/>
      <c r="K303" s="68"/>
      <c r="L303" s="65">
        <v>0</v>
      </c>
      <c r="M303" s="65">
        <v>0</v>
      </c>
      <c r="N303" s="65">
        <v>0</v>
      </c>
      <c r="O303" s="65">
        <v>0</v>
      </c>
      <c r="P303" s="65">
        <f t="shared" si="325"/>
        <v>0</v>
      </c>
      <c r="Q303" s="407"/>
      <c r="R303" s="643"/>
      <c r="S303" s="643"/>
      <c r="T303" s="643"/>
      <c r="U303" s="643"/>
      <c r="V303" s="644"/>
      <c r="W303" s="67"/>
      <c r="X303" s="68"/>
      <c r="Y303" s="68"/>
      <c r="Z303" s="68"/>
      <c r="AA303" s="415"/>
      <c r="AB303" s="79"/>
      <c r="AC303" s="79"/>
      <c r="AD303" s="79"/>
      <c r="AE303" s="79"/>
      <c r="AF303" s="79"/>
    </row>
    <row r="304" spans="1:32" s="69" customFormat="1" ht="18" customHeight="1">
      <c r="A304" s="393"/>
      <c r="B304" s="50" t="s">
        <v>243</v>
      </c>
      <c r="C304" s="65">
        <v>0</v>
      </c>
      <c r="D304" s="65">
        <v>0</v>
      </c>
      <c r="E304" s="83">
        <v>0</v>
      </c>
      <c r="F304" s="65">
        <v>0</v>
      </c>
      <c r="G304" s="63">
        <f t="shared" si="324"/>
        <v>0</v>
      </c>
      <c r="H304" s="64"/>
      <c r="I304" s="68"/>
      <c r="J304" s="68"/>
      <c r="K304" s="68"/>
      <c r="L304" s="65">
        <v>0</v>
      </c>
      <c r="M304" s="65">
        <v>0</v>
      </c>
      <c r="N304" s="65">
        <v>0</v>
      </c>
      <c r="O304" s="65">
        <v>0</v>
      </c>
      <c r="P304" s="65">
        <f t="shared" si="325"/>
        <v>0</v>
      </c>
      <c r="Q304" s="407"/>
      <c r="R304" s="643"/>
      <c r="S304" s="643"/>
      <c r="T304" s="643"/>
      <c r="U304" s="643"/>
      <c r="V304" s="644"/>
      <c r="W304" s="67"/>
      <c r="X304" s="68"/>
      <c r="Y304" s="68"/>
      <c r="Z304" s="68"/>
      <c r="AA304" s="415"/>
      <c r="AB304" s="79"/>
      <c r="AC304" s="79"/>
      <c r="AD304" s="79"/>
      <c r="AE304" s="79"/>
      <c r="AF304" s="79"/>
    </row>
    <row r="305" spans="1:32" s="69" customFormat="1" ht="18" customHeight="1">
      <c r="A305" s="393"/>
      <c r="B305" s="50" t="s">
        <v>244</v>
      </c>
      <c r="C305" s="65">
        <v>0</v>
      </c>
      <c r="D305" s="65">
        <v>0</v>
      </c>
      <c r="E305" s="83">
        <v>0</v>
      </c>
      <c r="F305" s="65">
        <v>0</v>
      </c>
      <c r="G305" s="63">
        <f t="shared" si="324"/>
        <v>0</v>
      </c>
      <c r="H305" s="64"/>
      <c r="I305" s="68"/>
      <c r="J305" s="68"/>
      <c r="K305" s="68"/>
      <c r="L305" s="65">
        <v>0</v>
      </c>
      <c r="M305" s="65">
        <v>0</v>
      </c>
      <c r="N305" s="65">
        <v>0</v>
      </c>
      <c r="O305" s="65">
        <v>0</v>
      </c>
      <c r="P305" s="65">
        <f t="shared" si="325"/>
        <v>0</v>
      </c>
      <c r="Q305" s="407"/>
      <c r="R305" s="643"/>
      <c r="S305" s="643"/>
      <c r="T305" s="643"/>
      <c r="U305" s="643"/>
      <c r="V305" s="644"/>
      <c r="W305" s="67"/>
      <c r="X305" s="68"/>
      <c r="Y305" s="68"/>
      <c r="Z305" s="68"/>
      <c r="AA305" s="415"/>
      <c r="AB305" s="79"/>
      <c r="AC305" s="79"/>
      <c r="AD305" s="79"/>
      <c r="AE305" s="79"/>
      <c r="AF305" s="79"/>
    </row>
    <row r="306" spans="1:32" s="69" customFormat="1" ht="18" customHeight="1">
      <c r="A306" s="393"/>
      <c r="B306" s="50" t="s">
        <v>245</v>
      </c>
      <c r="C306" s="65">
        <v>0</v>
      </c>
      <c r="D306" s="376">
        <v>0</v>
      </c>
      <c r="E306" s="376">
        <v>0</v>
      </c>
      <c r="F306" s="376">
        <v>0</v>
      </c>
      <c r="G306" s="63">
        <f t="shared" si="324"/>
        <v>0</v>
      </c>
      <c r="H306" s="64"/>
      <c r="I306" s="68"/>
      <c r="J306" s="68"/>
      <c r="K306" s="68"/>
      <c r="L306" s="65">
        <v>0</v>
      </c>
      <c r="M306" s="65">
        <v>0</v>
      </c>
      <c r="N306" s="65">
        <v>0</v>
      </c>
      <c r="O306" s="65">
        <v>0</v>
      </c>
      <c r="P306" s="65">
        <f t="shared" si="325"/>
        <v>0</v>
      </c>
      <c r="Q306" s="407"/>
      <c r="R306" s="643"/>
      <c r="S306" s="643"/>
      <c r="T306" s="643"/>
      <c r="U306" s="643"/>
      <c r="V306" s="644"/>
      <c r="W306" s="67"/>
      <c r="X306" s="68"/>
      <c r="Y306" s="68"/>
      <c r="Z306" s="68"/>
      <c r="AA306" s="415"/>
      <c r="AB306" s="79"/>
      <c r="AC306" s="79"/>
      <c r="AD306" s="79"/>
      <c r="AE306" s="79"/>
      <c r="AF306" s="79"/>
    </row>
    <row r="307" spans="1:32" s="69" customFormat="1" ht="18" customHeight="1">
      <c r="A307" s="393"/>
      <c r="B307" s="50" t="s">
        <v>246</v>
      </c>
      <c r="C307" s="65">
        <v>0</v>
      </c>
      <c r="D307" s="62">
        <v>0</v>
      </c>
      <c r="E307" s="376">
        <v>0</v>
      </c>
      <c r="F307" s="62">
        <v>0</v>
      </c>
      <c r="G307" s="63">
        <f t="shared" si="324"/>
        <v>0</v>
      </c>
      <c r="H307" s="64"/>
      <c r="I307" s="68"/>
      <c r="J307" s="68"/>
      <c r="K307" s="68"/>
      <c r="L307" s="65">
        <v>0</v>
      </c>
      <c r="M307" s="65">
        <v>0</v>
      </c>
      <c r="N307" s="65">
        <v>0</v>
      </c>
      <c r="O307" s="65">
        <v>0</v>
      </c>
      <c r="P307" s="65">
        <f t="shared" si="325"/>
        <v>0</v>
      </c>
      <c r="Q307" s="407"/>
      <c r="R307" s="643"/>
      <c r="S307" s="643"/>
      <c r="T307" s="643"/>
      <c r="U307" s="643"/>
      <c r="V307" s="644"/>
      <c r="W307" s="67"/>
      <c r="X307" s="68"/>
      <c r="Y307" s="68"/>
      <c r="Z307" s="68"/>
      <c r="AA307" s="415"/>
      <c r="AB307" s="79"/>
      <c r="AC307" s="79"/>
      <c r="AD307" s="79"/>
      <c r="AE307" s="79"/>
      <c r="AF307" s="79"/>
    </row>
    <row r="308" spans="1:32" s="69" customFormat="1" ht="18" customHeight="1">
      <c r="A308" s="393"/>
      <c r="B308" s="50" t="s">
        <v>247</v>
      </c>
      <c r="C308" s="65">
        <v>0</v>
      </c>
      <c r="D308" s="62">
        <v>0</v>
      </c>
      <c r="E308" s="376">
        <v>0</v>
      </c>
      <c r="F308" s="62">
        <v>0</v>
      </c>
      <c r="G308" s="63">
        <f t="shared" si="324"/>
        <v>0</v>
      </c>
      <c r="H308" s="64"/>
      <c r="I308" s="68"/>
      <c r="J308" s="68"/>
      <c r="K308" s="68"/>
      <c r="L308" s="65">
        <v>0</v>
      </c>
      <c r="M308" s="65">
        <v>0</v>
      </c>
      <c r="N308" s="65">
        <v>0</v>
      </c>
      <c r="O308" s="65">
        <v>0</v>
      </c>
      <c r="P308" s="65">
        <f t="shared" si="325"/>
        <v>0</v>
      </c>
      <c r="Q308" s="407"/>
      <c r="R308" s="643"/>
      <c r="S308" s="643"/>
      <c r="T308" s="643"/>
      <c r="U308" s="643"/>
      <c r="V308" s="644"/>
      <c r="W308" s="67"/>
      <c r="X308" s="68"/>
      <c r="Y308" s="68"/>
      <c r="Z308" s="68"/>
      <c r="AA308" s="415"/>
      <c r="AB308" s="79"/>
      <c r="AC308" s="79"/>
      <c r="AD308" s="79"/>
      <c r="AE308" s="79"/>
      <c r="AF308" s="79"/>
    </row>
    <row r="309" spans="1:32" s="69" customFormat="1" ht="18" customHeight="1">
      <c r="A309" s="393"/>
      <c r="B309" s="50" t="s">
        <v>248</v>
      </c>
      <c r="C309" s="65">
        <v>0</v>
      </c>
      <c r="D309" s="62">
        <v>0</v>
      </c>
      <c r="E309" s="376">
        <v>0</v>
      </c>
      <c r="F309" s="62">
        <v>0</v>
      </c>
      <c r="G309" s="63">
        <f t="shared" si="324"/>
        <v>0</v>
      </c>
      <c r="H309" s="64"/>
      <c r="I309" s="68"/>
      <c r="J309" s="68"/>
      <c r="K309" s="68"/>
      <c r="L309" s="65">
        <v>0</v>
      </c>
      <c r="M309" s="65">
        <v>0</v>
      </c>
      <c r="N309" s="65">
        <v>0</v>
      </c>
      <c r="O309" s="65">
        <v>0</v>
      </c>
      <c r="P309" s="65">
        <f t="shared" si="325"/>
        <v>0</v>
      </c>
      <c r="Q309" s="407"/>
      <c r="R309" s="643"/>
      <c r="S309" s="643"/>
      <c r="T309" s="643"/>
      <c r="U309" s="643"/>
      <c r="V309" s="644"/>
      <c r="W309" s="67"/>
      <c r="X309" s="68"/>
      <c r="Y309" s="68"/>
      <c r="Z309" s="68"/>
      <c r="AA309" s="415"/>
      <c r="AB309" s="79"/>
      <c r="AC309" s="79"/>
      <c r="AD309" s="79"/>
      <c r="AE309" s="79"/>
      <c r="AF309" s="79"/>
    </row>
    <row r="310" spans="1:32" s="69" customFormat="1" ht="18" customHeight="1">
      <c r="A310" s="393"/>
      <c r="B310" s="50" t="s">
        <v>249</v>
      </c>
      <c r="C310" s="65">
        <v>0</v>
      </c>
      <c r="D310" s="65">
        <v>0</v>
      </c>
      <c r="E310" s="83">
        <v>0</v>
      </c>
      <c r="F310" s="65">
        <v>0</v>
      </c>
      <c r="G310" s="63">
        <f t="shared" si="324"/>
        <v>0</v>
      </c>
      <c r="H310" s="64"/>
      <c r="I310" s="68"/>
      <c r="J310" s="68"/>
      <c r="K310" s="68"/>
      <c r="L310" s="65">
        <v>0</v>
      </c>
      <c r="M310" s="65">
        <v>0</v>
      </c>
      <c r="N310" s="65">
        <v>0</v>
      </c>
      <c r="O310" s="65">
        <v>0</v>
      </c>
      <c r="P310" s="65">
        <f t="shared" si="325"/>
        <v>0</v>
      </c>
      <c r="Q310" s="407"/>
      <c r="R310" s="643"/>
      <c r="S310" s="643"/>
      <c r="T310" s="643"/>
      <c r="U310" s="643"/>
      <c r="V310" s="644"/>
      <c r="W310" s="67"/>
      <c r="X310" s="68"/>
      <c r="Y310" s="68"/>
      <c r="Z310" s="68"/>
      <c r="AA310" s="415"/>
      <c r="AB310" s="79"/>
      <c r="AC310" s="79"/>
      <c r="AD310" s="79"/>
      <c r="AE310" s="79"/>
      <c r="AF310" s="79"/>
    </row>
    <row r="311" spans="1:32" s="69" customFormat="1" ht="18" customHeight="1">
      <c r="A311" s="393"/>
      <c r="B311" s="50" t="s">
        <v>250</v>
      </c>
      <c r="C311" s="65">
        <v>0</v>
      </c>
      <c r="D311" s="65">
        <v>0</v>
      </c>
      <c r="E311" s="83">
        <v>0</v>
      </c>
      <c r="F311" s="65">
        <v>0</v>
      </c>
      <c r="G311" s="63">
        <f t="shared" si="324"/>
        <v>0</v>
      </c>
      <c r="H311" s="64"/>
      <c r="I311" s="68"/>
      <c r="J311" s="68"/>
      <c r="K311" s="68"/>
      <c r="L311" s="65">
        <v>0</v>
      </c>
      <c r="M311" s="65">
        <v>0</v>
      </c>
      <c r="N311" s="65">
        <v>0</v>
      </c>
      <c r="O311" s="65">
        <v>0</v>
      </c>
      <c r="P311" s="65">
        <f t="shared" si="325"/>
        <v>0</v>
      </c>
      <c r="Q311" s="407"/>
      <c r="R311" s="643"/>
      <c r="S311" s="643"/>
      <c r="T311" s="643"/>
      <c r="U311" s="643"/>
      <c r="V311" s="644"/>
      <c r="W311" s="67"/>
      <c r="X311" s="68"/>
      <c r="Y311" s="68"/>
      <c r="Z311" s="68"/>
      <c r="AA311" s="415"/>
      <c r="AB311" s="79"/>
      <c r="AC311" s="79"/>
      <c r="AD311" s="79"/>
      <c r="AE311" s="79"/>
      <c r="AF311" s="79"/>
    </row>
    <row r="312" spans="1:32" s="69" customFormat="1" ht="18" customHeight="1">
      <c r="A312" s="393"/>
      <c r="B312" s="50" t="s">
        <v>251</v>
      </c>
      <c r="C312" s="65">
        <v>0</v>
      </c>
      <c r="D312" s="65">
        <v>0</v>
      </c>
      <c r="E312" s="83">
        <v>0</v>
      </c>
      <c r="F312" s="65">
        <v>0</v>
      </c>
      <c r="G312" s="63">
        <f t="shared" si="324"/>
        <v>0</v>
      </c>
      <c r="H312" s="64"/>
      <c r="I312" s="68"/>
      <c r="J312" s="68"/>
      <c r="K312" s="68"/>
      <c r="L312" s="65">
        <v>0</v>
      </c>
      <c r="M312" s="65">
        <v>0</v>
      </c>
      <c r="N312" s="65">
        <v>0</v>
      </c>
      <c r="O312" s="65">
        <v>0</v>
      </c>
      <c r="P312" s="65">
        <f t="shared" si="325"/>
        <v>0</v>
      </c>
      <c r="Q312" s="407"/>
      <c r="R312" s="643"/>
      <c r="S312" s="643"/>
      <c r="T312" s="643"/>
      <c r="U312" s="643"/>
      <c r="V312" s="644"/>
      <c r="W312" s="67"/>
      <c r="X312" s="68"/>
      <c r="Y312" s="68"/>
      <c r="Z312" s="68"/>
      <c r="AA312" s="415"/>
      <c r="AB312" s="79"/>
      <c r="AC312" s="79"/>
      <c r="AD312" s="79"/>
      <c r="AE312" s="79"/>
      <c r="AF312" s="79"/>
    </row>
    <row r="313" spans="1:32" s="69" customFormat="1" ht="18" customHeight="1">
      <c r="A313" s="393"/>
      <c r="B313" s="50" t="s">
        <v>252</v>
      </c>
      <c r="C313" s="65">
        <v>0</v>
      </c>
      <c r="D313" s="376">
        <v>0</v>
      </c>
      <c r="E313" s="376">
        <v>0</v>
      </c>
      <c r="F313" s="376">
        <v>0</v>
      </c>
      <c r="G313" s="63">
        <f t="shared" si="324"/>
        <v>0</v>
      </c>
      <c r="H313" s="64"/>
      <c r="I313" s="68"/>
      <c r="J313" s="68"/>
      <c r="K313" s="68"/>
      <c r="L313" s="65">
        <v>0</v>
      </c>
      <c r="M313" s="65">
        <v>0</v>
      </c>
      <c r="N313" s="65">
        <v>0</v>
      </c>
      <c r="O313" s="65">
        <v>0</v>
      </c>
      <c r="P313" s="65">
        <f t="shared" si="325"/>
        <v>0</v>
      </c>
      <c r="Q313" s="407"/>
      <c r="R313" s="643"/>
      <c r="S313" s="643"/>
      <c r="T313" s="643"/>
      <c r="U313" s="643"/>
      <c r="V313" s="644"/>
      <c r="W313" s="67"/>
      <c r="X313" s="68"/>
      <c r="Y313" s="68"/>
      <c r="Z313" s="68"/>
      <c r="AA313" s="415"/>
      <c r="AB313" s="79"/>
      <c r="AC313" s="79"/>
      <c r="AD313" s="79"/>
      <c r="AE313" s="79"/>
      <c r="AF313" s="79"/>
    </row>
    <row r="314" spans="1:32" s="69" customFormat="1" ht="18" customHeight="1">
      <c r="A314" s="393"/>
      <c r="B314" s="50" t="s">
        <v>253</v>
      </c>
      <c r="C314" s="65">
        <v>0</v>
      </c>
      <c r="D314" s="62">
        <v>0</v>
      </c>
      <c r="E314" s="376">
        <v>0</v>
      </c>
      <c r="F314" s="62">
        <v>0</v>
      </c>
      <c r="G314" s="63">
        <f t="shared" si="324"/>
        <v>0</v>
      </c>
      <c r="H314" s="64"/>
      <c r="I314" s="68"/>
      <c r="J314" s="68"/>
      <c r="K314" s="68"/>
      <c r="L314" s="65">
        <v>0</v>
      </c>
      <c r="M314" s="65">
        <v>0</v>
      </c>
      <c r="N314" s="65">
        <v>0</v>
      </c>
      <c r="O314" s="65">
        <v>0</v>
      </c>
      <c r="P314" s="65">
        <f t="shared" si="325"/>
        <v>0</v>
      </c>
      <c r="Q314" s="407"/>
      <c r="R314" s="643"/>
      <c r="S314" s="643"/>
      <c r="T314" s="643"/>
      <c r="U314" s="643"/>
      <c r="V314" s="644"/>
      <c r="W314" s="67"/>
      <c r="X314" s="68"/>
      <c r="Y314" s="68"/>
      <c r="Z314" s="68"/>
      <c r="AA314" s="415"/>
      <c r="AB314" s="79"/>
      <c r="AC314" s="79"/>
      <c r="AD314" s="79"/>
      <c r="AE314" s="79"/>
      <c r="AF314" s="79"/>
    </row>
    <row r="315" spans="1:32" s="69" customFormat="1" ht="18" customHeight="1">
      <c r="A315" s="393"/>
      <c r="B315" s="50" t="s">
        <v>254</v>
      </c>
      <c r="C315" s="65">
        <v>0</v>
      </c>
      <c r="D315" s="62">
        <v>0</v>
      </c>
      <c r="E315" s="376">
        <v>0</v>
      </c>
      <c r="F315" s="62">
        <v>0</v>
      </c>
      <c r="G315" s="63">
        <f t="shared" si="324"/>
        <v>0</v>
      </c>
      <c r="H315" s="64"/>
      <c r="I315" s="68"/>
      <c r="J315" s="68"/>
      <c r="K315" s="68"/>
      <c r="L315" s="65">
        <v>0</v>
      </c>
      <c r="M315" s="65">
        <v>0</v>
      </c>
      <c r="N315" s="65">
        <v>0</v>
      </c>
      <c r="O315" s="65">
        <v>0</v>
      </c>
      <c r="P315" s="65">
        <f t="shared" si="325"/>
        <v>0</v>
      </c>
      <c r="Q315" s="407"/>
      <c r="R315" s="643"/>
      <c r="S315" s="643"/>
      <c r="T315" s="643"/>
      <c r="U315" s="643"/>
      <c r="V315" s="644"/>
      <c r="W315" s="67"/>
      <c r="X315" s="68"/>
      <c r="Y315" s="68"/>
      <c r="Z315" s="68"/>
      <c r="AA315" s="415"/>
      <c r="AB315" s="79"/>
      <c r="AC315" s="79"/>
      <c r="AD315" s="79"/>
      <c r="AE315" s="79"/>
      <c r="AF315" s="79"/>
    </row>
    <row r="316" spans="1:32" s="69" customFormat="1" ht="18" customHeight="1">
      <c r="A316" s="393"/>
      <c r="B316" s="42" t="s">
        <v>216</v>
      </c>
      <c r="C316" s="65">
        <v>0</v>
      </c>
      <c r="D316" s="62">
        <v>0</v>
      </c>
      <c r="E316" s="376">
        <v>0</v>
      </c>
      <c r="F316" s="62">
        <v>0</v>
      </c>
      <c r="G316" s="63">
        <f t="shared" si="324"/>
        <v>0</v>
      </c>
      <c r="H316" s="64"/>
      <c r="I316" s="68"/>
      <c r="J316" s="68"/>
      <c r="K316" s="68"/>
      <c r="L316" s="65">
        <v>0</v>
      </c>
      <c r="M316" s="65">
        <v>0</v>
      </c>
      <c r="N316" s="65">
        <v>0</v>
      </c>
      <c r="O316" s="65">
        <v>0</v>
      </c>
      <c r="P316" s="65">
        <f t="shared" si="325"/>
        <v>0</v>
      </c>
      <c r="Q316" s="407"/>
      <c r="R316" s="643"/>
      <c r="S316" s="643"/>
      <c r="T316" s="643"/>
      <c r="U316" s="643"/>
      <c r="V316" s="644"/>
      <c r="W316" s="67"/>
      <c r="X316" s="68"/>
      <c r="Y316" s="68"/>
      <c r="Z316" s="68"/>
      <c r="AA316" s="415"/>
      <c r="AB316" s="79"/>
      <c r="AC316" s="79"/>
      <c r="AD316" s="79"/>
      <c r="AE316" s="79"/>
      <c r="AF316" s="79"/>
    </row>
    <row r="317" spans="1:32" s="69" customFormat="1" ht="18" customHeight="1">
      <c r="A317" s="393"/>
      <c r="B317" s="42"/>
      <c r="C317" s="65">
        <f>SUM(C297:C316)</f>
        <v>10042258.210000001</v>
      </c>
      <c r="D317" s="65">
        <f t="shared" ref="D317:G317" si="326">SUM(D297:D316)</f>
        <v>4733197</v>
      </c>
      <c r="E317" s="65">
        <f t="shared" si="326"/>
        <v>0</v>
      </c>
      <c r="F317" s="65">
        <f t="shared" si="326"/>
        <v>0</v>
      </c>
      <c r="G317" s="65">
        <f t="shared" si="326"/>
        <v>14775455.210000001</v>
      </c>
      <c r="H317" s="66">
        <f t="shared" ref="H317:P317" si="327">SUM(H297:H316)</f>
        <v>0</v>
      </c>
      <c r="I317" s="66">
        <f t="shared" si="327"/>
        <v>0</v>
      </c>
      <c r="J317" s="66">
        <f t="shared" si="327"/>
        <v>0</v>
      </c>
      <c r="K317" s="66">
        <f t="shared" si="327"/>
        <v>0</v>
      </c>
      <c r="L317" s="66">
        <f t="shared" si="327"/>
        <v>0</v>
      </c>
      <c r="M317" s="66">
        <f t="shared" si="327"/>
        <v>0</v>
      </c>
      <c r="N317" s="66">
        <f t="shared" si="327"/>
        <v>0</v>
      </c>
      <c r="O317" s="66">
        <f t="shared" si="327"/>
        <v>0</v>
      </c>
      <c r="P317" s="66">
        <f t="shared" si="327"/>
        <v>0</v>
      </c>
      <c r="Q317" s="409"/>
      <c r="R317" s="645"/>
      <c r="S317" s="645"/>
      <c r="T317" s="645"/>
      <c r="U317" s="645"/>
      <c r="V317" s="646"/>
      <c r="W317" s="67"/>
      <c r="X317" s="68"/>
      <c r="Y317" s="68"/>
      <c r="Z317" s="68"/>
      <c r="AA317" s="415"/>
      <c r="AB317" s="79"/>
      <c r="AC317" s="79"/>
      <c r="AD317" s="79"/>
      <c r="AE317" s="79"/>
      <c r="AF317" s="79"/>
    </row>
    <row r="318" spans="1:32" s="69" customFormat="1">
      <c r="A318" s="393"/>
      <c r="B318" s="85"/>
      <c r="C318" s="82"/>
      <c r="D318" s="82"/>
      <c r="E318" s="86"/>
      <c r="F318" s="82"/>
      <c r="G318" s="80"/>
      <c r="H318" s="81"/>
      <c r="L318" s="82"/>
      <c r="M318" s="82"/>
      <c r="N318" s="82"/>
      <c r="O318" s="82"/>
      <c r="P318" s="80"/>
      <c r="Q318" s="407"/>
      <c r="R318" s="27"/>
      <c r="S318" s="27"/>
      <c r="T318" s="27"/>
      <c r="U318" s="27"/>
      <c r="V318" s="29"/>
      <c r="AA318" s="79"/>
      <c r="AB318" s="79"/>
      <c r="AC318" s="79"/>
      <c r="AD318" s="79"/>
      <c r="AE318" s="79"/>
      <c r="AF318" s="79"/>
    </row>
    <row r="319" spans="1:32" s="69" customFormat="1">
      <c r="A319" s="393"/>
      <c r="B319" s="640" t="s">
        <v>256</v>
      </c>
      <c r="C319" s="640"/>
      <c r="D319" s="640"/>
      <c r="E319" s="640"/>
      <c r="F319" s="640"/>
      <c r="G319" s="640"/>
      <c r="H319" s="81"/>
      <c r="L319" s="82"/>
      <c r="M319" s="82"/>
      <c r="N319" s="82"/>
      <c r="O319" s="82"/>
      <c r="P319" s="80"/>
      <c r="Q319" s="407"/>
      <c r="R319" s="27"/>
      <c r="S319" s="27"/>
      <c r="T319" s="27"/>
      <c r="U319" s="27"/>
      <c r="V319" s="29"/>
      <c r="AA319" s="79"/>
      <c r="AB319" s="79"/>
      <c r="AC319" s="79"/>
      <c r="AD319" s="79"/>
      <c r="AE319" s="79"/>
      <c r="AF319" s="79"/>
    </row>
    <row r="320" spans="1:32" s="69" customFormat="1">
      <c r="A320" s="393"/>
      <c r="B320" s="70" t="s">
        <v>9</v>
      </c>
      <c r="C320" s="83" t="s">
        <v>206</v>
      </c>
      <c r="D320" s="83" t="s">
        <v>207</v>
      </c>
      <c r="E320" s="83" t="s">
        <v>10</v>
      </c>
      <c r="F320" s="83" t="s">
        <v>11</v>
      </c>
      <c r="G320" s="84" t="s">
        <v>208</v>
      </c>
      <c r="H320" s="64"/>
      <c r="I320" s="68"/>
      <c r="J320" s="68"/>
      <c r="K320" s="68"/>
      <c r="L320" s="65"/>
      <c r="M320" s="65"/>
      <c r="N320" s="65"/>
      <c r="O320" s="65"/>
      <c r="P320" s="66"/>
      <c r="Q320" s="406"/>
      <c r="R320" s="46"/>
      <c r="S320" s="28"/>
      <c r="T320" s="28"/>
      <c r="U320" s="28"/>
      <c r="V320" s="45"/>
      <c r="W320" s="67"/>
      <c r="X320" s="68"/>
      <c r="Y320" s="68"/>
      <c r="Z320" s="68"/>
      <c r="AA320" s="415"/>
      <c r="AB320" s="79"/>
      <c r="AC320" s="79"/>
      <c r="AD320" s="79"/>
      <c r="AE320" s="79"/>
      <c r="AF320" s="79"/>
    </row>
    <row r="321" spans="1:32" s="69" customFormat="1">
      <c r="A321" s="393"/>
      <c r="B321" s="42" t="s">
        <v>237</v>
      </c>
      <c r="C321" s="62">
        <v>2376346.62</v>
      </c>
      <c r="D321" s="62">
        <v>4093977.26</v>
      </c>
      <c r="E321" s="376">
        <v>0</v>
      </c>
      <c r="F321" s="62">
        <v>0</v>
      </c>
      <c r="G321" s="63">
        <f>SUM(C321:F321)</f>
        <v>6470323.8799999999</v>
      </c>
      <c r="H321" s="64"/>
      <c r="I321" s="68"/>
      <c r="J321" s="68"/>
      <c r="K321" s="68"/>
      <c r="L321" s="65">
        <v>0</v>
      </c>
      <c r="M321" s="65">
        <v>0</v>
      </c>
      <c r="N321" s="65">
        <v>0</v>
      </c>
      <c r="O321" s="65">
        <v>0</v>
      </c>
      <c r="P321" s="66">
        <f>SUM(L321:O321)</f>
        <v>0</v>
      </c>
      <c r="Q321" s="406"/>
      <c r="R321" s="46">
        <f t="shared" ref="R321:R341" si="328">+C321+L321</f>
        <v>2376346.62</v>
      </c>
      <c r="S321" s="28">
        <f t="shared" ref="S321:S341" si="329">+D321+M321</f>
        <v>4093977.26</v>
      </c>
      <c r="T321" s="28">
        <f t="shared" ref="T321:T341" si="330">+E321+N321</f>
        <v>0</v>
      </c>
      <c r="U321" s="28">
        <f t="shared" ref="U321:U341" si="331">+F321+O321</f>
        <v>0</v>
      </c>
      <c r="V321" s="45">
        <f t="shared" ref="V321:V358" si="332">SUM(R321:U321)</f>
        <v>6470323.8799999999</v>
      </c>
      <c r="W321" s="67"/>
      <c r="X321" s="68"/>
      <c r="Y321" s="68"/>
      <c r="Z321" s="68"/>
      <c r="AA321" s="415"/>
      <c r="AB321" s="79"/>
      <c r="AC321" s="79"/>
      <c r="AD321" s="79"/>
      <c r="AE321" s="79"/>
      <c r="AF321" s="79"/>
    </row>
    <row r="322" spans="1:32" s="69" customFormat="1">
      <c r="A322" s="393"/>
      <c r="B322" s="42" t="s">
        <v>238</v>
      </c>
      <c r="C322" s="62">
        <v>4777033.43</v>
      </c>
      <c r="D322" s="62">
        <v>4363682</v>
      </c>
      <c r="E322" s="376">
        <v>0</v>
      </c>
      <c r="F322" s="62">
        <v>9630817.3000000007</v>
      </c>
      <c r="G322" s="63">
        <f t="shared" ref="G322:G340" si="333">SUM(C322:F322)</f>
        <v>18771532.73</v>
      </c>
      <c r="H322" s="64"/>
      <c r="I322" s="68"/>
      <c r="J322" s="68"/>
      <c r="K322" s="68"/>
      <c r="L322" s="65">
        <v>0</v>
      </c>
      <c r="M322" s="65">
        <v>0</v>
      </c>
      <c r="N322" s="65">
        <v>0</v>
      </c>
      <c r="O322" s="65">
        <v>0</v>
      </c>
      <c r="P322" s="66">
        <f t="shared" ref="P322:P340" si="334">SUM(L322:O322)</f>
        <v>0</v>
      </c>
      <c r="Q322" s="406"/>
      <c r="R322" s="46">
        <f t="shared" si="328"/>
        <v>4777033.43</v>
      </c>
      <c r="S322" s="28">
        <f t="shared" si="329"/>
        <v>4363682</v>
      </c>
      <c r="T322" s="28">
        <f t="shared" si="330"/>
        <v>0</v>
      </c>
      <c r="U322" s="28">
        <f t="shared" si="331"/>
        <v>9630817.3000000007</v>
      </c>
      <c r="V322" s="45">
        <f t="shared" si="332"/>
        <v>18771532.73</v>
      </c>
      <c r="W322" s="67"/>
      <c r="X322" s="68"/>
      <c r="Y322" s="68"/>
      <c r="Z322" s="68"/>
      <c r="AA322" s="415"/>
      <c r="AB322" s="79"/>
      <c r="AC322" s="79"/>
      <c r="AD322" s="79"/>
      <c r="AE322" s="79"/>
      <c r="AF322" s="79"/>
    </row>
    <row r="323" spans="1:32" s="69" customFormat="1">
      <c r="A323" s="393"/>
      <c r="B323" s="70" t="s">
        <v>239</v>
      </c>
      <c r="C323" s="62">
        <v>0</v>
      </c>
      <c r="D323" s="376">
        <v>0</v>
      </c>
      <c r="E323" s="376">
        <v>0</v>
      </c>
      <c r="F323" s="376">
        <v>0</v>
      </c>
      <c r="G323" s="63">
        <f t="shared" si="333"/>
        <v>0</v>
      </c>
      <c r="H323" s="64"/>
      <c r="I323" s="68"/>
      <c r="J323" s="68"/>
      <c r="K323" s="68"/>
      <c r="L323" s="65">
        <v>0</v>
      </c>
      <c r="M323" s="65">
        <v>0</v>
      </c>
      <c r="N323" s="65">
        <v>0</v>
      </c>
      <c r="O323" s="65">
        <v>0</v>
      </c>
      <c r="P323" s="66">
        <f t="shared" si="334"/>
        <v>0</v>
      </c>
      <c r="Q323" s="406"/>
      <c r="R323" s="46">
        <f t="shared" si="328"/>
        <v>0</v>
      </c>
      <c r="S323" s="28">
        <f t="shared" si="329"/>
        <v>0</v>
      </c>
      <c r="T323" s="28">
        <f t="shared" si="330"/>
        <v>0</v>
      </c>
      <c r="U323" s="28">
        <f t="shared" si="331"/>
        <v>0</v>
      </c>
      <c r="V323" s="45">
        <f t="shared" si="332"/>
        <v>0</v>
      </c>
      <c r="W323" s="67"/>
      <c r="X323" s="68"/>
      <c r="Y323" s="68"/>
      <c r="Z323" s="68"/>
      <c r="AA323" s="415"/>
      <c r="AB323" s="79"/>
      <c r="AC323" s="79"/>
      <c r="AD323" s="79"/>
      <c r="AE323" s="79"/>
      <c r="AF323" s="79"/>
    </row>
    <row r="324" spans="1:32" s="69" customFormat="1">
      <c r="A324" s="393"/>
      <c r="B324" s="70" t="s">
        <v>240</v>
      </c>
      <c r="C324" s="62">
        <v>597000</v>
      </c>
      <c r="D324" s="62">
        <v>0</v>
      </c>
      <c r="E324" s="376">
        <v>0</v>
      </c>
      <c r="F324" s="376">
        <v>0</v>
      </c>
      <c r="G324" s="63">
        <f t="shared" si="333"/>
        <v>597000</v>
      </c>
      <c r="H324" s="64"/>
      <c r="I324" s="68"/>
      <c r="J324" s="68"/>
      <c r="K324" s="68"/>
      <c r="L324" s="65">
        <v>0</v>
      </c>
      <c r="M324" s="65">
        <v>0</v>
      </c>
      <c r="N324" s="65">
        <v>0</v>
      </c>
      <c r="O324" s="65">
        <v>0</v>
      </c>
      <c r="P324" s="66">
        <f t="shared" si="334"/>
        <v>0</v>
      </c>
      <c r="Q324" s="406"/>
      <c r="R324" s="46">
        <f t="shared" si="328"/>
        <v>597000</v>
      </c>
      <c r="S324" s="28">
        <f t="shared" si="329"/>
        <v>0</v>
      </c>
      <c r="T324" s="28">
        <f t="shared" si="330"/>
        <v>0</v>
      </c>
      <c r="U324" s="28">
        <f t="shared" si="331"/>
        <v>0</v>
      </c>
      <c r="V324" s="45">
        <f t="shared" si="332"/>
        <v>597000</v>
      </c>
      <c r="W324" s="67"/>
      <c r="X324" s="68"/>
      <c r="Y324" s="68"/>
      <c r="Z324" s="68"/>
      <c r="AA324" s="415"/>
      <c r="AB324" s="79"/>
      <c r="AC324" s="79"/>
      <c r="AD324" s="79"/>
      <c r="AE324" s="79"/>
      <c r="AF324" s="79"/>
    </row>
    <row r="325" spans="1:32" s="69" customFormat="1">
      <c r="A325" s="393"/>
      <c r="B325" s="42" t="s">
        <v>241</v>
      </c>
      <c r="C325" s="62">
        <v>0</v>
      </c>
      <c r="D325" s="62">
        <v>0</v>
      </c>
      <c r="E325" s="376">
        <v>0</v>
      </c>
      <c r="F325" s="376">
        <v>0</v>
      </c>
      <c r="G325" s="63">
        <f t="shared" si="333"/>
        <v>0</v>
      </c>
      <c r="H325" s="64"/>
      <c r="I325" s="68"/>
      <c r="J325" s="68"/>
      <c r="K325" s="68"/>
      <c r="L325" s="65">
        <v>0</v>
      </c>
      <c r="M325" s="65">
        <v>0</v>
      </c>
      <c r="N325" s="65">
        <v>0</v>
      </c>
      <c r="O325" s="65">
        <v>0</v>
      </c>
      <c r="P325" s="66">
        <f t="shared" si="334"/>
        <v>0</v>
      </c>
      <c r="Q325" s="406"/>
      <c r="R325" s="46">
        <f t="shared" si="328"/>
        <v>0</v>
      </c>
      <c r="S325" s="28">
        <f t="shared" si="329"/>
        <v>0</v>
      </c>
      <c r="T325" s="28">
        <f t="shared" si="330"/>
        <v>0</v>
      </c>
      <c r="U325" s="28">
        <f t="shared" si="331"/>
        <v>0</v>
      </c>
      <c r="V325" s="45">
        <f t="shared" si="332"/>
        <v>0</v>
      </c>
      <c r="W325" s="67"/>
      <c r="X325" s="68"/>
      <c r="Y325" s="68"/>
      <c r="Z325" s="68"/>
      <c r="AA325" s="415"/>
      <c r="AB325" s="79"/>
      <c r="AC325" s="79"/>
      <c r="AD325" s="79"/>
      <c r="AE325" s="79"/>
      <c r="AF325" s="79"/>
    </row>
    <row r="326" spans="1:32" s="69" customFormat="1">
      <c r="A326" s="393"/>
      <c r="B326" s="42" t="s">
        <v>242</v>
      </c>
      <c r="C326" s="62">
        <v>0</v>
      </c>
      <c r="D326" s="62">
        <v>0</v>
      </c>
      <c r="E326" s="376">
        <v>0</v>
      </c>
      <c r="F326" s="376">
        <v>0</v>
      </c>
      <c r="G326" s="63">
        <f t="shared" si="333"/>
        <v>0</v>
      </c>
      <c r="H326" s="64"/>
      <c r="I326" s="68"/>
      <c r="J326" s="68"/>
      <c r="K326" s="68"/>
      <c r="L326" s="65">
        <v>0</v>
      </c>
      <c r="M326" s="65">
        <v>0</v>
      </c>
      <c r="N326" s="65">
        <v>0</v>
      </c>
      <c r="O326" s="65">
        <v>0</v>
      </c>
      <c r="P326" s="66">
        <f t="shared" si="334"/>
        <v>0</v>
      </c>
      <c r="Q326" s="406"/>
      <c r="R326" s="46">
        <f t="shared" si="328"/>
        <v>0</v>
      </c>
      <c r="S326" s="28">
        <f t="shared" si="329"/>
        <v>0</v>
      </c>
      <c r="T326" s="28">
        <f t="shared" si="330"/>
        <v>0</v>
      </c>
      <c r="U326" s="28">
        <f t="shared" si="331"/>
        <v>0</v>
      </c>
      <c r="V326" s="45">
        <f t="shared" si="332"/>
        <v>0</v>
      </c>
      <c r="W326" s="67"/>
      <c r="X326" s="68"/>
      <c r="Y326" s="68"/>
      <c r="Z326" s="68"/>
      <c r="AA326" s="415"/>
      <c r="AB326" s="79"/>
      <c r="AC326" s="79"/>
      <c r="AD326" s="79"/>
      <c r="AE326" s="79"/>
      <c r="AF326" s="79"/>
    </row>
    <row r="327" spans="1:32" s="69" customFormat="1">
      <c r="A327" s="393"/>
      <c r="B327" s="50" t="s">
        <v>438</v>
      </c>
      <c r="C327" s="65"/>
      <c r="D327" s="65">
        <v>0</v>
      </c>
      <c r="E327" s="83">
        <v>0</v>
      </c>
      <c r="F327" s="83">
        <v>0</v>
      </c>
      <c r="G327" s="63">
        <f t="shared" si="333"/>
        <v>0</v>
      </c>
      <c r="H327" s="64"/>
      <c r="I327" s="68"/>
      <c r="J327" s="68"/>
      <c r="K327" s="68"/>
      <c r="L327" s="65">
        <v>0</v>
      </c>
      <c r="M327" s="65">
        <v>0</v>
      </c>
      <c r="N327" s="65">
        <v>0</v>
      </c>
      <c r="O327" s="65">
        <v>0</v>
      </c>
      <c r="P327" s="66">
        <f t="shared" si="334"/>
        <v>0</v>
      </c>
      <c r="Q327" s="406"/>
      <c r="R327" s="46">
        <f t="shared" si="328"/>
        <v>0</v>
      </c>
      <c r="S327" s="28">
        <f t="shared" si="329"/>
        <v>0</v>
      </c>
      <c r="T327" s="28">
        <f t="shared" si="330"/>
        <v>0</v>
      </c>
      <c r="U327" s="28">
        <f t="shared" si="331"/>
        <v>0</v>
      </c>
      <c r="V327" s="45">
        <f t="shared" si="332"/>
        <v>0</v>
      </c>
      <c r="W327" s="67"/>
      <c r="X327" s="68"/>
      <c r="Y327" s="68"/>
      <c r="Z327" s="68"/>
      <c r="AA327" s="415"/>
      <c r="AB327" s="79"/>
      <c r="AC327" s="79"/>
      <c r="AD327" s="79"/>
      <c r="AE327" s="79"/>
      <c r="AF327" s="79"/>
    </row>
    <row r="328" spans="1:32" s="69" customFormat="1">
      <c r="A328" s="393"/>
      <c r="B328" s="50" t="s">
        <v>243</v>
      </c>
      <c r="C328" s="65"/>
      <c r="D328" s="65">
        <v>0</v>
      </c>
      <c r="E328" s="83">
        <v>0</v>
      </c>
      <c r="F328" s="83">
        <v>0</v>
      </c>
      <c r="G328" s="63">
        <f t="shared" si="333"/>
        <v>0</v>
      </c>
      <c r="H328" s="64"/>
      <c r="I328" s="68"/>
      <c r="J328" s="68"/>
      <c r="K328" s="68"/>
      <c r="L328" s="65">
        <v>0</v>
      </c>
      <c r="M328" s="65">
        <v>0</v>
      </c>
      <c r="N328" s="65">
        <v>0</v>
      </c>
      <c r="O328" s="65">
        <v>0</v>
      </c>
      <c r="P328" s="66">
        <f t="shared" si="334"/>
        <v>0</v>
      </c>
      <c r="Q328" s="406"/>
      <c r="R328" s="46">
        <f t="shared" si="328"/>
        <v>0</v>
      </c>
      <c r="S328" s="28">
        <f t="shared" si="329"/>
        <v>0</v>
      </c>
      <c r="T328" s="28">
        <f t="shared" si="330"/>
        <v>0</v>
      </c>
      <c r="U328" s="28">
        <f t="shared" si="331"/>
        <v>0</v>
      </c>
      <c r="V328" s="45">
        <f t="shared" si="332"/>
        <v>0</v>
      </c>
      <c r="W328" s="67"/>
      <c r="X328" s="68"/>
      <c r="Y328" s="68"/>
      <c r="Z328" s="68"/>
      <c r="AA328" s="415"/>
      <c r="AB328" s="79"/>
      <c r="AC328" s="79"/>
      <c r="AD328" s="79"/>
      <c r="AE328" s="79"/>
      <c r="AF328" s="79"/>
    </row>
    <row r="329" spans="1:32" s="69" customFormat="1">
      <c r="A329" s="393"/>
      <c r="B329" s="50" t="s">
        <v>244</v>
      </c>
      <c r="C329" s="65">
        <v>0</v>
      </c>
      <c r="D329" s="65">
        <v>0</v>
      </c>
      <c r="E329" s="83">
        <v>0</v>
      </c>
      <c r="F329" s="83">
        <v>0</v>
      </c>
      <c r="G329" s="63">
        <f t="shared" si="333"/>
        <v>0</v>
      </c>
      <c r="H329" s="64"/>
      <c r="I329" s="68"/>
      <c r="J329" s="68"/>
      <c r="K329" s="68"/>
      <c r="L329" s="65">
        <v>0</v>
      </c>
      <c r="M329" s="65">
        <v>0</v>
      </c>
      <c r="N329" s="65">
        <v>0</v>
      </c>
      <c r="O329" s="65">
        <v>0</v>
      </c>
      <c r="P329" s="66">
        <f t="shared" si="334"/>
        <v>0</v>
      </c>
      <c r="Q329" s="406"/>
      <c r="R329" s="46">
        <f t="shared" si="328"/>
        <v>0</v>
      </c>
      <c r="S329" s="28">
        <f t="shared" si="329"/>
        <v>0</v>
      </c>
      <c r="T329" s="28">
        <f t="shared" si="330"/>
        <v>0</v>
      </c>
      <c r="U329" s="28">
        <f t="shared" si="331"/>
        <v>0</v>
      </c>
      <c r="V329" s="45">
        <f t="shared" si="332"/>
        <v>0</v>
      </c>
      <c r="W329" s="67"/>
      <c r="X329" s="68"/>
      <c r="Y329" s="68"/>
      <c r="Z329" s="68"/>
      <c r="AA329" s="415"/>
      <c r="AB329" s="79"/>
      <c r="AC329" s="79"/>
      <c r="AD329" s="79"/>
      <c r="AE329" s="79"/>
      <c r="AF329" s="79"/>
    </row>
    <row r="330" spans="1:32" s="69" customFormat="1">
      <c r="A330" s="393"/>
      <c r="B330" s="50" t="s">
        <v>245</v>
      </c>
      <c r="C330" s="65">
        <v>0</v>
      </c>
      <c r="D330" s="65">
        <v>0</v>
      </c>
      <c r="E330" s="83">
        <v>0</v>
      </c>
      <c r="F330" s="83">
        <v>0</v>
      </c>
      <c r="G330" s="63">
        <f t="shared" si="333"/>
        <v>0</v>
      </c>
      <c r="H330" s="64"/>
      <c r="I330" s="68"/>
      <c r="J330" s="68"/>
      <c r="K330" s="68"/>
      <c r="L330" s="65">
        <v>0</v>
      </c>
      <c r="M330" s="65">
        <v>0</v>
      </c>
      <c r="N330" s="65">
        <v>0</v>
      </c>
      <c r="O330" s="65">
        <v>0</v>
      </c>
      <c r="P330" s="66">
        <f t="shared" si="334"/>
        <v>0</v>
      </c>
      <c r="Q330" s="406"/>
      <c r="R330" s="46">
        <f t="shared" si="328"/>
        <v>0</v>
      </c>
      <c r="S330" s="28">
        <f t="shared" si="329"/>
        <v>0</v>
      </c>
      <c r="T330" s="28">
        <f t="shared" si="330"/>
        <v>0</v>
      </c>
      <c r="U330" s="28">
        <f t="shared" si="331"/>
        <v>0</v>
      </c>
      <c r="V330" s="45">
        <f t="shared" si="332"/>
        <v>0</v>
      </c>
      <c r="W330" s="67"/>
      <c r="X330" s="68"/>
      <c r="Y330" s="68"/>
      <c r="Z330" s="68"/>
      <c r="AA330" s="415"/>
      <c r="AB330" s="79"/>
      <c r="AC330" s="79"/>
      <c r="AD330" s="79"/>
      <c r="AE330" s="79"/>
      <c r="AF330" s="79"/>
    </row>
    <row r="331" spans="1:32" s="69" customFormat="1">
      <c r="A331" s="393"/>
      <c r="B331" s="50" t="s">
        <v>246</v>
      </c>
      <c r="C331" s="65">
        <v>0</v>
      </c>
      <c r="D331" s="65">
        <v>0</v>
      </c>
      <c r="E331" s="83">
        <v>0</v>
      </c>
      <c r="F331" s="83">
        <v>0</v>
      </c>
      <c r="G331" s="63">
        <f t="shared" si="333"/>
        <v>0</v>
      </c>
      <c r="H331" s="64"/>
      <c r="I331" s="68"/>
      <c r="J331" s="68"/>
      <c r="K331" s="68"/>
      <c r="L331" s="65">
        <v>0</v>
      </c>
      <c r="M331" s="65">
        <v>0</v>
      </c>
      <c r="N331" s="65">
        <v>0</v>
      </c>
      <c r="O331" s="65">
        <v>0</v>
      </c>
      <c r="P331" s="66">
        <f t="shared" si="334"/>
        <v>0</v>
      </c>
      <c r="Q331" s="406"/>
      <c r="R331" s="46">
        <f t="shared" si="328"/>
        <v>0</v>
      </c>
      <c r="S331" s="28">
        <f t="shared" si="329"/>
        <v>0</v>
      </c>
      <c r="T331" s="28">
        <f t="shared" si="330"/>
        <v>0</v>
      </c>
      <c r="U331" s="28">
        <f t="shared" si="331"/>
        <v>0</v>
      </c>
      <c r="V331" s="45">
        <f t="shared" si="332"/>
        <v>0</v>
      </c>
      <c r="W331" s="67"/>
      <c r="X331" s="68"/>
      <c r="Y331" s="68"/>
      <c r="Z331" s="68"/>
      <c r="AA331" s="415"/>
      <c r="AB331" s="79"/>
      <c r="AC331" s="79"/>
      <c r="AD331" s="79"/>
      <c r="AE331" s="79"/>
      <c r="AF331" s="79"/>
    </row>
    <row r="332" spans="1:32" s="69" customFormat="1">
      <c r="A332" s="393"/>
      <c r="B332" s="50" t="s">
        <v>247</v>
      </c>
      <c r="C332" s="65">
        <v>0</v>
      </c>
      <c r="D332" s="65">
        <v>0</v>
      </c>
      <c r="E332" s="83">
        <v>0</v>
      </c>
      <c r="F332" s="83">
        <v>0</v>
      </c>
      <c r="G332" s="63">
        <f t="shared" si="333"/>
        <v>0</v>
      </c>
      <c r="H332" s="64"/>
      <c r="I332" s="68"/>
      <c r="J332" s="68"/>
      <c r="K332" s="68"/>
      <c r="L332" s="65">
        <v>0</v>
      </c>
      <c r="M332" s="65">
        <v>0</v>
      </c>
      <c r="N332" s="65">
        <v>0</v>
      </c>
      <c r="O332" s="65">
        <v>0</v>
      </c>
      <c r="P332" s="66">
        <f t="shared" si="334"/>
        <v>0</v>
      </c>
      <c r="Q332" s="406"/>
      <c r="R332" s="46">
        <f t="shared" si="328"/>
        <v>0</v>
      </c>
      <c r="S332" s="28">
        <f t="shared" si="329"/>
        <v>0</v>
      </c>
      <c r="T332" s="28">
        <f t="shared" si="330"/>
        <v>0</v>
      </c>
      <c r="U332" s="28">
        <f t="shared" si="331"/>
        <v>0</v>
      </c>
      <c r="V332" s="45">
        <f t="shared" si="332"/>
        <v>0</v>
      </c>
      <c r="W332" s="67"/>
      <c r="X332" s="68"/>
      <c r="Y332" s="68"/>
      <c r="Z332" s="68"/>
      <c r="AA332" s="415"/>
      <c r="AB332" s="79"/>
      <c r="AC332" s="79"/>
      <c r="AD332" s="79"/>
      <c r="AE332" s="79"/>
      <c r="AF332" s="79"/>
    </row>
    <row r="333" spans="1:32" s="69" customFormat="1">
      <c r="A333" s="393"/>
      <c r="B333" s="50" t="s">
        <v>248</v>
      </c>
      <c r="C333" s="65">
        <v>0</v>
      </c>
      <c r="D333" s="65">
        <v>0</v>
      </c>
      <c r="E333" s="83">
        <v>0</v>
      </c>
      <c r="F333" s="83">
        <v>0</v>
      </c>
      <c r="G333" s="63">
        <f t="shared" si="333"/>
        <v>0</v>
      </c>
      <c r="H333" s="64"/>
      <c r="I333" s="68"/>
      <c r="J333" s="68"/>
      <c r="K333" s="68"/>
      <c r="L333" s="65">
        <v>0</v>
      </c>
      <c r="M333" s="65">
        <v>0</v>
      </c>
      <c r="N333" s="65">
        <v>0</v>
      </c>
      <c r="O333" s="65">
        <v>0</v>
      </c>
      <c r="P333" s="66">
        <f t="shared" si="334"/>
        <v>0</v>
      </c>
      <c r="Q333" s="406"/>
      <c r="R333" s="46">
        <f t="shared" si="328"/>
        <v>0</v>
      </c>
      <c r="S333" s="28">
        <f t="shared" si="329"/>
        <v>0</v>
      </c>
      <c r="T333" s="28">
        <f t="shared" si="330"/>
        <v>0</v>
      </c>
      <c r="U333" s="28">
        <f t="shared" si="331"/>
        <v>0</v>
      </c>
      <c r="V333" s="45">
        <f t="shared" si="332"/>
        <v>0</v>
      </c>
      <c r="W333" s="67"/>
      <c r="X333" s="68"/>
      <c r="Y333" s="68"/>
      <c r="Z333" s="68"/>
      <c r="AA333" s="415"/>
      <c r="AB333" s="79"/>
      <c r="AC333" s="79"/>
      <c r="AD333" s="79"/>
      <c r="AE333" s="79"/>
      <c r="AF333" s="79"/>
    </row>
    <row r="334" spans="1:32" s="69" customFormat="1">
      <c r="A334" s="393"/>
      <c r="B334" s="50" t="s">
        <v>249</v>
      </c>
      <c r="C334" s="65">
        <v>0</v>
      </c>
      <c r="D334" s="65">
        <v>0</v>
      </c>
      <c r="E334" s="83">
        <v>0</v>
      </c>
      <c r="F334" s="83">
        <v>0</v>
      </c>
      <c r="G334" s="63">
        <f t="shared" si="333"/>
        <v>0</v>
      </c>
      <c r="H334" s="64"/>
      <c r="I334" s="68"/>
      <c r="J334" s="68"/>
      <c r="K334" s="68"/>
      <c r="L334" s="65">
        <v>0</v>
      </c>
      <c r="M334" s="65">
        <v>0</v>
      </c>
      <c r="N334" s="65">
        <v>0</v>
      </c>
      <c r="O334" s="65">
        <v>0</v>
      </c>
      <c r="P334" s="66">
        <f t="shared" si="334"/>
        <v>0</v>
      </c>
      <c r="Q334" s="406"/>
      <c r="R334" s="46">
        <f t="shared" si="328"/>
        <v>0</v>
      </c>
      <c r="S334" s="28">
        <f t="shared" si="329"/>
        <v>0</v>
      </c>
      <c r="T334" s="28">
        <f t="shared" si="330"/>
        <v>0</v>
      </c>
      <c r="U334" s="28">
        <f t="shared" si="331"/>
        <v>0</v>
      </c>
      <c r="V334" s="45">
        <f t="shared" si="332"/>
        <v>0</v>
      </c>
      <c r="W334" s="67"/>
      <c r="X334" s="68"/>
      <c r="Y334" s="68"/>
      <c r="Z334" s="68"/>
      <c r="AA334" s="415"/>
      <c r="AB334" s="79"/>
      <c r="AC334" s="79"/>
      <c r="AD334" s="79"/>
      <c r="AE334" s="79"/>
      <c r="AF334" s="79"/>
    </row>
    <row r="335" spans="1:32" s="69" customFormat="1">
      <c r="A335" s="393"/>
      <c r="B335" s="50" t="s">
        <v>250</v>
      </c>
      <c r="C335" s="65">
        <v>0</v>
      </c>
      <c r="D335" s="65">
        <v>0</v>
      </c>
      <c r="E335" s="83">
        <v>0</v>
      </c>
      <c r="F335" s="83">
        <v>0</v>
      </c>
      <c r="G335" s="63">
        <f t="shared" si="333"/>
        <v>0</v>
      </c>
      <c r="H335" s="64"/>
      <c r="I335" s="68"/>
      <c r="J335" s="68"/>
      <c r="K335" s="68"/>
      <c r="L335" s="65">
        <v>0</v>
      </c>
      <c r="M335" s="65">
        <v>0</v>
      </c>
      <c r="N335" s="65">
        <v>0</v>
      </c>
      <c r="O335" s="65">
        <v>0</v>
      </c>
      <c r="P335" s="66">
        <f t="shared" si="334"/>
        <v>0</v>
      </c>
      <c r="Q335" s="406"/>
      <c r="R335" s="46">
        <f t="shared" si="328"/>
        <v>0</v>
      </c>
      <c r="S335" s="28">
        <f t="shared" si="329"/>
        <v>0</v>
      </c>
      <c r="T335" s="28">
        <f t="shared" si="330"/>
        <v>0</v>
      </c>
      <c r="U335" s="28">
        <f t="shared" si="331"/>
        <v>0</v>
      </c>
      <c r="V335" s="45">
        <f t="shared" si="332"/>
        <v>0</v>
      </c>
      <c r="W335" s="67"/>
      <c r="X335" s="68"/>
      <c r="Y335" s="68"/>
      <c r="Z335" s="68"/>
      <c r="AA335" s="415"/>
      <c r="AB335" s="79"/>
      <c r="AC335" s="79"/>
      <c r="AD335" s="79"/>
      <c r="AE335" s="79"/>
      <c r="AF335" s="79"/>
    </row>
    <row r="336" spans="1:32" s="69" customFormat="1">
      <c r="A336" s="393"/>
      <c r="B336" s="50" t="s">
        <v>251</v>
      </c>
      <c r="C336" s="65">
        <v>0</v>
      </c>
      <c r="D336" s="65">
        <v>0</v>
      </c>
      <c r="E336" s="83">
        <v>0</v>
      </c>
      <c r="F336" s="83">
        <v>0</v>
      </c>
      <c r="G336" s="63">
        <f t="shared" si="333"/>
        <v>0</v>
      </c>
      <c r="H336" s="64"/>
      <c r="I336" s="68"/>
      <c r="J336" s="68"/>
      <c r="K336" s="68"/>
      <c r="L336" s="65">
        <v>0</v>
      </c>
      <c r="M336" s="65">
        <v>0</v>
      </c>
      <c r="N336" s="65">
        <v>0</v>
      </c>
      <c r="O336" s="65">
        <v>0</v>
      </c>
      <c r="P336" s="66">
        <f t="shared" si="334"/>
        <v>0</v>
      </c>
      <c r="Q336" s="406"/>
      <c r="R336" s="46">
        <f t="shared" si="328"/>
        <v>0</v>
      </c>
      <c r="S336" s="28">
        <f t="shared" si="329"/>
        <v>0</v>
      </c>
      <c r="T336" s="28">
        <f t="shared" si="330"/>
        <v>0</v>
      </c>
      <c r="U336" s="28">
        <f t="shared" si="331"/>
        <v>0</v>
      </c>
      <c r="V336" s="45">
        <f t="shared" si="332"/>
        <v>0</v>
      </c>
      <c r="W336" s="67"/>
      <c r="X336" s="68"/>
      <c r="Y336" s="68"/>
      <c r="Z336" s="68"/>
      <c r="AA336" s="415"/>
      <c r="AB336" s="79"/>
      <c r="AC336" s="79"/>
      <c r="AD336" s="79"/>
      <c r="AE336" s="79"/>
      <c r="AF336" s="79"/>
    </row>
    <row r="337" spans="1:32" s="69" customFormat="1">
      <c r="A337" s="393"/>
      <c r="B337" s="50" t="s">
        <v>252</v>
      </c>
      <c r="C337" s="65">
        <v>0</v>
      </c>
      <c r="D337" s="65">
        <v>0</v>
      </c>
      <c r="E337" s="83">
        <v>0</v>
      </c>
      <c r="F337" s="83">
        <v>0</v>
      </c>
      <c r="G337" s="63">
        <f t="shared" si="333"/>
        <v>0</v>
      </c>
      <c r="H337" s="64"/>
      <c r="I337" s="68"/>
      <c r="J337" s="68"/>
      <c r="K337" s="68"/>
      <c r="L337" s="65">
        <v>0</v>
      </c>
      <c r="M337" s="65">
        <v>0</v>
      </c>
      <c r="N337" s="65">
        <v>0</v>
      </c>
      <c r="O337" s="65">
        <v>0</v>
      </c>
      <c r="P337" s="66">
        <f t="shared" si="334"/>
        <v>0</v>
      </c>
      <c r="Q337" s="406"/>
      <c r="R337" s="46">
        <f t="shared" si="328"/>
        <v>0</v>
      </c>
      <c r="S337" s="28">
        <f t="shared" si="329"/>
        <v>0</v>
      </c>
      <c r="T337" s="28">
        <f t="shared" si="330"/>
        <v>0</v>
      </c>
      <c r="U337" s="28">
        <f t="shared" si="331"/>
        <v>0</v>
      </c>
      <c r="V337" s="45">
        <f t="shared" si="332"/>
        <v>0</v>
      </c>
      <c r="W337" s="67"/>
      <c r="X337" s="68"/>
      <c r="Y337" s="68"/>
      <c r="Z337" s="68"/>
      <c r="AA337" s="415"/>
      <c r="AB337" s="79"/>
      <c r="AC337" s="79"/>
      <c r="AD337" s="79"/>
      <c r="AE337" s="79"/>
      <c r="AF337" s="79"/>
    </row>
    <row r="338" spans="1:32" s="69" customFormat="1">
      <c r="A338" s="393"/>
      <c r="B338" s="50" t="s">
        <v>253</v>
      </c>
      <c r="C338" s="65">
        <v>0</v>
      </c>
      <c r="D338" s="65">
        <v>0</v>
      </c>
      <c r="E338" s="83">
        <v>0</v>
      </c>
      <c r="F338" s="83">
        <v>0</v>
      </c>
      <c r="G338" s="63">
        <f t="shared" si="333"/>
        <v>0</v>
      </c>
      <c r="H338" s="64"/>
      <c r="I338" s="68"/>
      <c r="J338" s="68"/>
      <c r="K338" s="68"/>
      <c r="L338" s="65">
        <v>0</v>
      </c>
      <c r="M338" s="65">
        <v>0</v>
      </c>
      <c r="N338" s="65">
        <v>0</v>
      </c>
      <c r="O338" s="65">
        <v>0</v>
      </c>
      <c r="P338" s="66">
        <f t="shared" si="334"/>
        <v>0</v>
      </c>
      <c r="Q338" s="406"/>
      <c r="R338" s="46">
        <f t="shared" si="328"/>
        <v>0</v>
      </c>
      <c r="S338" s="28">
        <f t="shared" si="329"/>
        <v>0</v>
      </c>
      <c r="T338" s="28">
        <f t="shared" si="330"/>
        <v>0</v>
      </c>
      <c r="U338" s="28">
        <f t="shared" si="331"/>
        <v>0</v>
      </c>
      <c r="V338" s="45">
        <f t="shared" si="332"/>
        <v>0</v>
      </c>
      <c r="W338" s="67"/>
      <c r="X338" s="68"/>
      <c r="Y338" s="68"/>
      <c r="Z338" s="68"/>
      <c r="AA338" s="415"/>
      <c r="AB338" s="79"/>
      <c r="AC338" s="79"/>
      <c r="AD338" s="79"/>
      <c r="AE338" s="79"/>
      <c r="AF338" s="79"/>
    </row>
    <row r="339" spans="1:32" s="69" customFormat="1">
      <c r="A339" s="393"/>
      <c r="B339" s="50" t="s">
        <v>254</v>
      </c>
      <c r="C339" s="65">
        <v>0</v>
      </c>
      <c r="D339" s="65">
        <v>0</v>
      </c>
      <c r="E339" s="83">
        <v>0</v>
      </c>
      <c r="F339" s="83">
        <v>0</v>
      </c>
      <c r="G339" s="63">
        <f t="shared" si="333"/>
        <v>0</v>
      </c>
      <c r="H339" s="64"/>
      <c r="I339" s="68"/>
      <c r="J339" s="68"/>
      <c r="K339" s="68"/>
      <c r="L339" s="65">
        <v>0</v>
      </c>
      <c r="M339" s="65">
        <v>0</v>
      </c>
      <c r="N339" s="65">
        <v>0</v>
      </c>
      <c r="O339" s="65">
        <v>0</v>
      </c>
      <c r="P339" s="66">
        <f t="shared" si="334"/>
        <v>0</v>
      </c>
      <c r="Q339" s="406"/>
      <c r="R339" s="46">
        <f t="shared" si="328"/>
        <v>0</v>
      </c>
      <c r="S339" s="28">
        <f t="shared" si="329"/>
        <v>0</v>
      </c>
      <c r="T339" s="28">
        <f t="shared" si="330"/>
        <v>0</v>
      </c>
      <c r="U339" s="28">
        <f t="shared" si="331"/>
        <v>0</v>
      </c>
      <c r="V339" s="45">
        <f t="shared" si="332"/>
        <v>0</v>
      </c>
      <c r="W339" s="67"/>
      <c r="X339" s="68"/>
      <c r="Y339" s="68"/>
      <c r="Z339" s="68"/>
      <c r="AA339" s="415"/>
      <c r="AB339" s="79"/>
      <c r="AC339" s="79"/>
      <c r="AD339" s="79"/>
      <c r="AE339" s="79"/>
      <c r="AF339" s="79"/>
    </row>
    <row r="340" spans="1:32" s="69" customFormat="1">
      <c r="A340" s="393"/>
      <c r="B340" s="42" t="s">
        <v>216</v>
      </c>
      <c r="C340" s="65">
        <v>0</v>
      </c>
      <c r="D340" s="65">
        <v>0</v>
      </c>
      <c r="E340" s="83">
        <v>0</v>
      </c>
      <c r="F340" s="83">
        <v>0</v>
      </c>
      <c r="G340" s="63">
        <f t="shared" si="333"/>
        <v>0</v>
      </c>
      <c r="H340" s="64"/>
      <c r="I340" s="68"/>
      <c r="J340" s="68"/>
      <c r="K340" s="68"/>
      <c r="L340" s="65">
        <v>0</v>
      </c>
      <c r="M340" s="65">
        <v>0</v>
      </c>
      <c r="N340" s="65">
        <v>0</v>
      </c>
      <c r="O340" s="65">
        <v>0</v>
      </c>
      <c r="P340" s="66">
        <f t="shared" si="334"/>
        <v>0</v>
      </c>
      <c r="Q340" s="406"/>
      <c r="R340" s="46">
        <f t="shared" si="328"/>
        <v>0</v>
      </c>
      <c r="S340" s="28">
        <f t="shared" si="329"/>
        <v>0</v>
      </c>
      <c r="T340" s="28">
        <f t="shared" si="330"/>
        <v>0</v>
      </c>
      <c r="U340" s="28">
        <f t="shared" si="331"/>
        <v>0</v>
      </c>
      <c r="V340" s="45">
        <f t="shared" si="332"/>
        <v>0</v>
      </c>
      <c r="W340" s="67"/>
      <c r="X340" s="68"/>
      <c r="Y340" s="68"/>
      <c r="Z340" s="68"/>
      <c r="AA340" s="415"/>
      <c r="AB340" s="79"/>
      <c r="AC340" s="79"/>
      <c r="AD340" s="79"/>
      <c r="AE340" s="79"/>
      <c r="AF340" s="79"/>
    </row>
    <row r="341" spans="1:32" s="69" customFormat="1">
      <c r="A341" s="393"/>
      <c r="B341" s="42"/>
      <c r="C341" s="65">
        <f>SUM(C321:C340)</f>
        <v>7750380.0499999998</v>
      </c>
      <c r="D341" s="65">
        <f t="shared" ref="D341:G341" si="335">SUM(D321:D340)</f>
        <v>8457659.2599999998</v>
      </c>
      <c r="E341" s="65">
        <f t="shared" si="335"/>
        <v>0</v>
      </c>
      <c r="F341" s="65">
        <f t="shared" si="335"/>
        <v>9630817.3000000007</v>
      </c>
      <c r="G341" s="65">
        <f t="shared" si="335"/>
        <v>25838856.609999999</v>
      </c>
      <c r="H341" s="66">
        <f t="shared" ref="H341:P341" si="336">SUM(H321:H340)</f>
        <v>0</v>
      </c>
      <c r="I341" s="66">
        <f t="shared" si="336"/>
        <v>0</v>
      </c>
      <c r="J341" s="66">
        <f t="shared" si="336"/>
        <v>0</v>
      </c>
      <c r="K341" s="66">
        <f t="shared" si="336"/>
        <v>0</v>
      </c>
      <c r="L341" s="66">
        <f t="shared" si="336"/>
        <v>0</v>
      </c>
      <c r="M341" s="66">
        <f t="shared" si="336"/>
        <v>0</v>
      </c>
      <c r="N341" s="66">
        <f t="shared" si="336"/>
        <v>0</v>
      </c>
      <c r="O341" s="66">
        <f t="shared" si="336"/>
        <v>0</v>
      </c>
      <c r="P341" s="66">
        <f t="shared" si="336"/>
        <v>0</v>
      </c>
      <c r="Q341" s="406"/>
      <c r="R341" s="46">
        <f t="shared" si="328"/>
        <v>7750380.0499999998</v>
      </c>
      <c r="S341" s="28">
        <f t="shared" si="329"/>
        <v>8457659.2599999998</v>
      </c>
      <c r="T341" s="28">
        <f t="shared" si="330"/>
        <v>0</v>
      </c>
      <c r="U341" s="28">
        <f t="shared" si="331"/>
        <v>9630817.3000000007</v>
      </c>
      <c r="V341" s="45">
        <f t="shared" si="332"/>
        <v>25838856.609999999</v>
      </c>
      <c r="W341" s="67"/>
      <c r="X341" s="68"/>
      <c r="Y341" s="68"/>
      <c r="Z341" s="68"/>
      <c r="AA341" s="415"/>
      <c r="AB341" s="79"/>
      <c r="AC341" s="79"/>
      <c r="AD341" s="79"/>
      <c r="AE341" s="79"/>
      <c r="AF341" s="79"/>
    </row>
    <row r="342" spans="1:32" s="69" customFormat="1">
      <c r="A342" s="393"/>
      <c r="B342" s="85"/>
      <c r="C342" s="82"/>
      <c r="D342" s="82"/>
      <c r="E342" s="86"/>
      <c r="F342" s="82"/>
      <c r="G342" s="80"/>
      <c r="H342" s="81"/>
      <c r="L342" s="82"/>
      <c r="M342" s="82"/>
      <c r="N342" s="82"/>
      <c r="O342" s="82"/>
      <c r="P342" s="80"/>
      <c r="Q342" s="407"/>
      <c r="R342" s="27">
        <f>14287296.66-6536916.61</f>
        <v>7750380.0499999998</v>
      </c>
      <c r="S342" s="27">
        <f>11551559.95-3093900.69</f>
        <v>8457659.2599999998</v>
      </c>
      <c r="T342" s="27">
        <v>0</v>
      </c>
      <c r="U342" s="27">
        <f>6536916.61+3093900.69</f>
        <v>9630817.3000000007</v>
      </c>
      <c r="V342" s="29">
        <f>+R342+S342+T342+U342</f>
        <v>25838856.609999999</v>
      </c>
      <c r="AA342" s="79"/>
      <c r="AB342" s="79"/>
      <c r="AC342" s="79"/>
      <c r="AD342" s="79"/>
      <c r="AE342" s="79"/>
      <c r="AF342" s="79"/>
    </row>
    <row r="343" spans="1:32" s="69" customFormat="1">
      <c r="A343" s="393"/>
      <c r="B343" s="85"/>
      <c r="C343" s="82"/>
      <c r="D343" s="82"/>
      <c r="E343" s="86"/>
      <c r="F343" s="82"/>
      <c r="G343" s="76"/>
      <c r="H343" s="81"/>
      <c r="L343" s="82"/>
      <c r="M343" s="82"/>
      <c r="N343" s="82"/>
      <c r="O343" s="82"/>
      <c r="P343" s="80"/>
      <c r="Q343" s="407"/>
      <c r="R343" s="27"/>
      <c r="S343" s="27"/>
      <c r="T343" s="27"/>
      <c r="U343" s="27"/>
      <c r="V343" s="29"/>
      <c r="AA343" s="79"/>
      <c r="AB343" s="79"/>
      <c r="AC343" s="79"/>
      <c r="AD343" s="79"/>
      <c r="AE343" s="79"/>
      <c r="AF343" s="79"/>
    </row>
    <row r="344" spans="1:32" s="69" customFormat="1" ht="20.25" customHeight="1">
      <c r="A344" s="393"/>
      <c r="B344" s="640" t="s">
        <v>257</v>
      </c>
      <c r="C344" s="640"/>
      <c r="D344" s="640"/>
      <c r="E344" s="640"/>
      <c r="F344" s="640"/>
      <c r="G344" s="640"/>
      <c r="H344" s="81"/>
      <c r="L344" s="82"/>
      <c r="M344" s="82"/>
      <c r="N344" s="82"/>
      <c r="O344" s="82"/>
      <c r="P344" s="80"/>
      <c r="Q344" s="407"/>
      <c r="R344" s="27"/>
      <c r="S344" s="27"/>
      <c r="T344" s="27"/>
      <c r="U344" s="27"/>
      <c r="V344" s="29"/>
      <c r="AA344" s="79"/>
      <c r="AB344" s="79"/>
      <c r="AC344" s="79"/>
      <c r="AD344" s="79"/>
      <c r="AE344" s="79"/>
      <c r="AF344" s="79"/>
    </row>
    <row r="345" spans="1:32" s="69" customFormat="1" ht="20.25" customHeight="1">
      <c r="A345" s="393"/>
      <c r="B345" s="70" t="s">
        <v>9</v>
      </c>
      <c r="C345" s="83" t="s">
        <v>206</v>
      </c>
      <c r="D345" s="83" t="s">
        <v>207</v>
      </c>
      <c r="E345" s="83" t="s">
        <v>10</v>
      </c>
      <c r="F345" s="83" t="s">
        <v>11</v>
      </c>
      <c r="G345" s="84" t="s">
        <v>208</v>
      </c>
      <c r="H345" s="64"/>
      <c r="I345" s="68"/>
      <c r="J345" s="68"/>
      <c r="K345" s="68"/>
      <c r="L345" s="65"/>
      <c r="M345" s="65"/>
      <c r="N345" s="65"/>
      <c r="O345" s="65"/>
      <c r="P345" s="66"/>
      <c r="Q345" s="406"/>
      <c r="R345" s="46"/>
      <c r="S345" s="28"/>
      <c r="T345" s="28"/>
      <c r="U345" s="28"/>
      <c r="V345" s="45"/>
      <c r="W345" s="67"/>
      <c r="X345" s="68"/>
      <c r="Y345" s="68"/>
      <c r="Z345" s="68"/>
      <c r="AA345" s="415"/>
      <c r="AB345" s="79"/>
      <c r="AC345" s="79"/>
      <c r="AD345" s="79"/>
      <c r="AE345" s="79"/>
      <c r="AF345" s="79"/>
    </row>
    <row r="346" spans="1:32" s="69" customFormat="1" ht="20.25" customHeight="1">
      <c r="A346" s="393"/>
      <c r="B346" s="42" t="s">
        <v>237</v>
      </c>
      <c r="C346" s="62">
        <v>0</v>
      </c>
      <c r="D346" s="62">
        <v>0</v>
      </c>
      <c r="E346" s="376">
        <v>0</v>
      </c>
      <c r="F346" s="62">
        <v>0</v>
      </c>
      <c r="G346" s="63">
        <f t="shared" ref="G346:G365" si="337">SUM(C346:F346)</f>
        <v>0</v>
      </c>
      <c r="H346" s="64"/>
      <c r="I346" s="68"/>
      <c r="J346" s="68"/>
      <c r="K346" s="68"/>
      <c r="L346" s="65">
        <v>0</v>
      </c>
      <c r="M346" s="65">
        <v>0</v>
      </c>
      <c r="N346" s="65">
        <v>0</v>
      </c>
      <c r="O346" s="65">
        <v>0</v>
      </c>
      <c r="P346" s="66">
        <f>SUM(L346:O346)</f>
        <v>0</v>
      </c>
      <c r="Q346" s="406"/>
      <c r="R346" s="46">
        <f t="shared" ref="R346:R366" si="338">+C346+L346</f>
        <v>0</v>
      </c>
      <c r="S346" s="28">
        <f t="shared" ref="S346:S366" si="339">+D346+M346</f>
        <v>0</v>
      </c>
      <c r="T346" s="28">
        <f t="shared" ref="T346:T366" si="340">+E346+N346</f>
        <v>0</v>
      </c>
      <c r="U346" s="28">
        <f t="shared" ref="U346:U366" si="341">+F346+O346</f>
        <v>0</v>
      </c>
      <c r="V346" s="45">
        <f t="shared" si="332"/>
        <v>0</v>
      </c>
      <c r="W346" s="67"/>
      <c r="X346" s="68"/>
      <c r="Y346" s="68"/>
      <c r="Z346" s="68"/>
      <c r="AA346" s="415"/>
      <c r="AB346" s="79"/>
      <c r="AC346" s="79"/>
      <c r="AD346" s="79"/>
      <c r="AE346" s="79"/>
      <c r="AF346" s="79"/>
    </row>
    <row r="347" spans="1:32" s="69" customFormat="1" ht="20.25" customHeight="1">
      <c r="A347" s="393"/>
      <c r="B347" s="42" t="s">
        <v>238</v>
      </c>
      <c r="C347" s="62">
        <v>13024772.140000001</v>
      </c>
      <c r="D347" s="62">
        <v>2565666.56</v>
      </c>
      <c r="E347" s="376">
        <v>0</v>
      </c>
      <c r="F347" s="62">
        <v>10515832.43</v>
      </c>
      <c r="G347" s="63">
        <f t="shared" si="337"/>
        <v>26106271.130000003</v>
      </c>
      <c r="H347" s="64"/>
      <c r="I347" s="68"/>
      <c r="J347" s="68"/>
      <c r="K347" s="68"/>
      <c r="L347" s="65">
        <v>0</v>
      </c>
      <c r="M347" s="65">
        <v>0</v>
      </c>
      <c r="N347" s="65">
        <v>0</v>
      </c>
      <c r="O347" s="65">
        <v>0</v>
      </c>
      <c r="P347" s="66">
        <f t="shared" ref="P347:P365" si="342">SUM(L347:O347)</f>
        <v>0</v>
      </c>
      <c r="Q347" s="406"/>
      <c r="R347" s="46">
        <f>+C347+L347</f>
        <v>13024772.140000001</v>
      </c>
      <c r="S347" s="28">
        <f t="shared" si="339"/>
        <v>2565666.56</v>
      </c>
      <c r="T347" s="28">
        <f t="shared" si="340"/>
        <v>0</v>
      </c>
      <c r="U347" s="28">
        <f t="shared" si="341"/>
        <v>10515832.43</v>
      </c>
      <c r="V347" s="45">
        <f t="shared" si="332"/>
        <v>26106271.130000003</v>
      </c>
      <c r="W347" s="67"/>
      <c r="X347" s="68"/>
      <c r="Y347" s="68"/>
      <c r="Z347" s="68"/>
      <c r="AA347" s="415"/>
      <c r="AB347" s="79"/>
      <c r="AC347" s="79"/>
      <c r="AD347" s="79"/>
      <c r="AE347" s="79"/>
      <c r="AF347" s="79"/>
    </row>
    <row r="348" spans="1:32" s="69" customFormat="1" ht="20.25" customHeight="1">
      <c r="A348" s="393"/>
      <c r="B348" s="70" t="s">
        <v>239</v>
      </c>
      <c r="C348" s="62">
        <v>0</v>
      </c>
      <c r="D348" s="376">
        <v>0</v>
      </c>
      <c r="E348" s="376">
        <v>0</v>
      </c>
      <c r="F348" s="376">
        <v>0</v>
      </c>
      <c r="G348" s="63">
        <f t="shared" si="337"/>
        <v>0</v>
      </c>
      <c r="H348" s="64"/>
      <c r="I348" s="68"/>
      <c r="J348" s="68"/>
      <c r="K348" s="68"/>
      <c r="L348" s="65">
        <v>0</v>
      </c>
      <c r="M348" s="65">
        <v>0</v>
      </c>
      <c r="N348" s="65">
        <v>0</v>
      </c>
      <c r="O348" s="65">
        <v>0</v>
      </c>
      <c r="P348" s="66">
        <f t="shared" si="342"/>
        <v>0</v>
      </c>
      <c r="Q348" s="406"/>
      <c r="R348" s="46">
        <f t="shared" si="338"/>
        <v>0</v>
      </c>
      <c r="S348" s="28">
        <f t="shared" si="339"/>
        <v>0</v>
      </c>
      <c r="T348" s="28">
        <f t="shared" si="340"/>
        <v>0</v>
      </c>
      <c r="U348" s="28">
        <f t="shared" si="341"/>
        <v>0</v>
      </c>
      <c r="V348" s="45">
        <f t="shared" si="332"/>
        <v>0</v>
      </c>
      <c r="W348" s="67"/>
      <c r="X348" s="68"/>
      <c r="Y348" s="68"/>
      <c r="Z348" s="68"/>
      <c r="AA348" s="415"/>
      <c r="AB348" s="79"/>
      <c r="AC348" s="79"/>
      <c r="AD348" s="79"/>
      <c r="AE348" s="79"/>
      <c r="AF348" s="79"/>
    </row>
    <row r="349" spans="1:32" s="69" customFormat="1" ht="20.25" customHeight="1">
      <c r="A349" s="393"/>
      <c r="B349" s="70" t="s">
        <v>240</v>
      </c>
      <c r="C349" s="62">
        <v>747956.7</v>
      </c>
      <c r="D349" s="62">
        <v>0</v>
      </c>
      <c r="E349" s="376">
        <v>0</v>
      </c>
      <c r="F349" s="62">
        <v>505568.87</v>
      </c>
      <c r="G349" s="63">
        <f t="shared" si="337"/>
        <v>1253525.5699999998</v>
      </c>
      <c r="H349" s="64"/>
      <c r="I349" s="68"/>
      <c r="J349" s="68"/>
      <c r="K349" s="68"/>
      <c r="L349" s="65">
        <v>0</v>
      </c>
      <c r="M349" s="65">
        <v>0</v>
      </c>
      <c r="N349" s="65">
        <v>0</v>
      </c>
      <c r="O349" s="65">
        <v>0</v>
      </c>
      <c r="P349" s="66">
        <f t="shared" si="342"/>
        <v>0</v>
      </c>
      <c r="Q349" s="406"/>
      <c r="R349" s="46">
        <f t="shared" si="338"/>
        <v>747956.7</v>
      </c>
      <c r="S349" s="28">
        <f t="shared" si="339"/>
        <v>0</v>
      </c>
      <c r="T349" s="28">
        <f t="shared" si="340"/>
        <v>0</v>
      </c>
      <c r="U349" s="28">
        <f t="shared" si="341"/>
        <v>505568.87</v>
      </c>
      <c r="V349" s="45">
        <f t="shared" si="332"/>
        <v>1253525.5699999998</v>
      </c>
      <c r="W349" s="67"/>
      <c r="X349" s="68"/>
      <c r="Y349" s="68"/>
      <c r="Z349" s="68"/>
      <c r="AA349" s="415"/>
      <c r="AB349" s="79"/>
      <c r="AC349" s="79"/>
      <c r="AD349" s="79"/>
      <c r="AE349" s="79"/>
      <c r="AF349" s="79"/>
    </row>
    <row r="350" spans="1:32" s="69" customFormat="1" ht="20.25" customHeight="1">
      <c r="A350" s="393"/>
      <c r="B350" s="42" t="s">
        <v>241</v>
      </c>
      <c r="C350" s="62">
        <v>0</v>
      </c>
      <c r="D350" s="62">
        <v>0</v>
      </c>
      <c r="E350" s="376">
        <v>0</v>
      </c>
      <c r="F350" s="62">
        <v>0</v>
      </c>
      <c r="G350" s="63">
        <f t="shared" si="337"/>
        <v>0</v>
      </c>
      <c r="H350" s="64"/>
      <c r="I350" s="68"/>
      <c r="J350" s="68"/>
      <c r="K350" s="68"/>
      <c r="L350" s="65">
        <v>0</v>
      </c>
      <c r="M350" s="65">
        <v>0</v>
      </c>
      <c r="N350" s="65">
        <v>0</v>
      </c>
      <c r="O350" s="65">
        <v>0</v>
      </c>
      <c r="P350" s="66">
        <f t="shared" si="342"/>
        <v>0</v>
      </c>
      <c r="Q350" s="406"/>
      <c r="R350" s="46">
        <f t="shared" si="338"/>
        <v>0</v>
      </c>
      <c r="S350" s="28">
        <f t="shared" si="339"/>
        <v>0</v>
      </c>
      <c r="T350" s="28">
        <f t="shared" si="340"/>
        <v>0</v>
      </c>
      <c r="U350" s="28">
        <f t="shared" si="341"/>
        <v>0</v>
      </c>
      <c r="V350" s="45">
        <f t="shared" si="332"/>
        <v>0</v>
      </c>
      <c r="W350" s="67"/>
      <c r="X350" s="68"/>
      <c r="Y350" s="68"/>
      <c r="Z350" s="68"/>
      <c r="AA350" s="415"/>
      <c r="AB350" s="79"/>
      <c r="AC350" s="79"/>
      <c r="AD350" s="79"/>
      <c r="AE350" s="79"/>
      <c r="AF350" s="79"/>
    </row>
    <row r="351" spans="1:32" s="69" customFormat="1" ht="20.25" customHeight="1">
      <c r="A351" s="393"/>
      <c r="B351" s="42" t="s">
        <v>242</v>
      </c>
      <c r="C351" s="62">
        <v>0</v>
      </c>
      <c r="D351" s="62">
        <v>0</v>
      </c>
      <c r="E351" s="376">
        <v>0</v>
      </c>
      <c r="F351" s="62">
        <v>0</v>
      </c>
      <c r="G351" s="63">
        <f t="shared" si="337"/>
        <v>0</v>
      </c>
      <c r="H351" s="64"/>
      <c r="I351" s="68"/>
      <c r="J351" s="68"/>
      <c r="K351" s="68"/>
      <c r="L351" s="65">
        <v>0</v>
      </c>
      <c r="M351" s="65">
        <v>0</v>
      </c>
      <c r="N351" s="65">
        <v>0</v>
      </c>
      <c r="O351" s="65">
        <v>0</v>
      </c>
      <c r="P351" s="66">
        <f t="shared" si="342"/>
        <v>0</v>
      </c>
      <c r="Q351" s="406"/>
      <c r="R351" s="46">
        <f t="shared" si="338"/>
        <v>0</v>
      </c>
      <c r="S351" s="28">
        <f t="shared" si="339"/>
        <v>0</v>
      </c>
      <c r="T351" s="28">
        <f t="shared" si="340"/>
        <v>0</v>
      </c>
      <c r="U351" s="28">
        <f t="shared" si="341"/>
        <v>0</v>
      </c>
      <c r="V351" s="45">
        <f t="shared" si="332"/>
        <v>0</v>
      </c>
      <c r="W351" s="67"/>
      <c r="X351" s="68"/>
      <c r="Y351" s="68"/>
      <c r="Z351" s="68"/>
      <c r="AA351" s="415"/>
      <c r="AB351" s="79"/>
      <c r="AC351" s="79"/>
      <c r="AD351" s="79"/>
      <c r="AE351" s="79"/>
      <c r="AF351" s="79"/>
    </row>
    <row r="352" spans="1:32" s="69" customFormat="1" ht="20.25" customHeight="1">
      <c r="A352" s="393"/>
      <c r="B352" s="50" t="s">
        <v>438</v>
      </c>
      <c r="C352" s="65">
        <v>0</v>
      </c>
      <c r="D352" s="65">
        <v>0</v>
      </c>
      <c r="E352" s="83">
        <v>0</v>
      </c>
      <c r="F352" s="65">
        <v>0</v>
      </c>
      <c r="G352" s="63">
        <f t="shared" si="337"/>
        <v>0</v>
      </c>
      <c r="H352" s="64"/>
      <c r="I352" s="68"/>
      <c r="J352" s="68"/>
      <c r="K352" s="68"/>
      <c r="L352" s="65">
        <v>0</v>
      </c>
      <c r="M352" s="65">
        <v>0</v>
      </c>
      <c r="N352" s="65">
        <v>0</v>
      </c>
      <c r="O352" s="65">
        <v>0</v>
      </c>
      <c r="P352" s="66">
        <f t="shared" si="342"/>
        <v>0</v>
      </c>
      <c r="Q352" s="406"/>
      <c r="R352" s="46">
        <f t="shared" si="338"/>
        <v>0</v>
      </c>
      <c r="S352" s="28">
        <f t="shared" si="339"/>
        <v>0</v>
      </c>
      <c r="T352" s="28">
        <f t="shared" si="340"/>
        <v>0</v>
      </c>
      <c r="U352" s="28">
        <f t="shared" si="341"/>
        <v>0</v>
      </c>
      <c r="V352" s="45">
        <f t="shared" si="332"/>
        <v>0</v>
      </c>
      <c r="W352" s="67"/>
      <c r="X352" s="68"/>
      <c r="Y352" s="68"/>
      <c r="Z352" s="68"/>
      <c r="AA352" s="415"/>
      <c r="AB352" s="79"/>
      <c r="AC352" s="79"/>
      <c r="AD352" s="79"/>
      <c r="AE352" s="79"/>
      <c r="AF352" s="79"/>
    </row>
    <row r="353" spans="1:32" s="69" customFormat="1" ht="20.25" customHeight="1">
      <c r="A353" s="393"/>
      <c r="B353" s="50" t="s">
        <v>243</v>
      </c>
      <c r="C353" s="65">
        <v>311999.19</v>
      </c>
      <c r="D353" s="65"/>
      <c r="E353" s="83">
        <v>0</v>
      </c>
      <c r="F353" s="65">
        <v>213462.41</v>
      </c>
      <c r="G353" s="63">
        <f t="shared" si="337"/>
        <v>525461.6</v>
      </c>
      <c r="H353" s="64"/>
      <c r="I353" s="68"/>
      <c r="J353" s="68"/>
      <c r="K353" s="68"/>
      <c r="L353" s="65">
        <v>0</v>
      </c>
      <c r="M353" s="65">
        <v>0</v>
      </c>
      <c r="N353" s="65">
        <v>0</v>
      </c>
      <c r="O353" s="65">
        <v>0</v>
      </c>
      <c r="P353" s="66">
        <f t="shared" si="342"/>
        <v>0</v>
      </c>
      <c r="Q353" s="406"/>
      <c r="R353" s="46">
        <f t="shared" si="338"/>
        <v>311999.19</v>
      </c>
      <c r="S353" s="28">
        <f t="shared" si="339"/>
        <v>0</v>
      </c>
      <c r="T353" s="28">
        <f t="shared" si="340"/>
        <v>0</v>
      </c>
      <c r="U353" s="28">
        <f t="shared" si="341"/>
        <v>213462.41</v>
      </c>
      <c r="V353" s="45">
        <f t="shared" si="332"/>
        <v>525461.6</v>
      </c>
      <c r="W353" s="67"/>
      <c r="X353" s="68"/>
      <c r="Y353" s="68"/>
      <c r="Z353" s="68"/>
      <c r="AA353" s="415"/>
      <c r="AB353" s="79"/>
      <c r="AC353" s="79"/>
      <c r="AD353" s="79"/>
      <c r="AE353" s="79"/>
      <c r="AF353" s="79"/>
    </row>
    <row r="354" spans="1:32" s="69" customFormat="1" ht="20.25" customHeight="1">
      <c r="A354" s="393"/>
      <c r="B354" s="50" t="s">
        <v>244</v>
      </c>
      <c r="C354" s="65">
        <v>0</v>
      </c>
      <c r="D354" s="65">
        <v>0</v>
      </c>
      <c r="E354" s="65">
        <v>0</v>
      </c>
      <c r="F354" s="65">
        <v>0</v>
      </c>
      <c r="G354" s="63">
        <f t="shared" si="337"/>
        <v>0</v>
      </c>
      <c r="H354" s="64"/>
      <c r="I354" s="68"/>
      <c r="J354" s="68"/>
      <c r="K354" s="68"/>
      <c r="L354" s="65">
        <v>0</v>
      </c>
      <c r="M354" s="65">
        <v>0</v>
      </c>
      <c r="N354" s="65">
        <v>0</v>
      </c>
      <c r="O354" s="65">
        <v>0</v>
      </c>
      <c r="P354" s="66">
        <f t="shared" si="342"/>
        <v>0</v>
      </c>
      <c r="Q354" s="406"/>
      <c r="R354" s="46">
        <f t="shared" si="338"/>
        <v>0</v>
      </c>
      <c r="S354" s="28">
        <f t="shared" si="339"/>
        <v>0</v>
      </c>
      <c r="T354" s="28">
        <f t="shared" si="340"/>
        <v>0</v>
      </c>
      <c r="U354" s="28">
        <f t="shared" si="341"/>
        <v>0</v>
      </c>
      <c r="V354" s="45">
        <f t="shared" si="332"/>
        <v>0</v>
      </c>
      <c r="W354" s="67"/>
      <c r="X354" s="68"/>
      <c r="Y354" s="68"/>
      <c r="Z354" s="68"/>
      <c r="AA354" s="415"/>
      <c r="AB354" s="79"/>
      <c r="AC354" s="79"/>
      <c r="AD354" s="79"/>
      <c r="AE354" s="79"/>
      <c r="AF354" s="79"/>
    </row>
    <row r="355" spans="1:32" s="69" customFormat="1" ht="20.25" customHeight="1">
      <c r="A355" s="393"/>
      <c r="B355" s="50" t="s">
        <v>245</v>
      </c>
      <c r="C355" s="65">
        <v>0</v>
      </c>
      <c r="D355" s="65">
        <v>0</v>
      </c>
      <c r="E355" s="65">
        <v>0</v>
      </c>
      <c r="F355" s="65">
        <v>0</v>
      </c>
      <c r="G355" s="63">
        <f t="shared" si="337"/>
        <v>0</v>
      </c>
      <c r="H355" s="64"/>
      <c r="I355" s="68"/>
      <c r="J355" s="68"/>
      <c r="K355" s="68"/>
      <c r="L355" s="65">
        <v>0</v>
      </c>
      <c r="M355" s="65">
        <v>0</v>
      </c>
      <c r="N355" s="65">
        <v>0</v>
      </c>
      <c r="O355" s="65">
        <v>0</v>
      </c>
      <c r="P355" s="66">
        <f t="shared" si="342"/>
        <v>0</v>
      </c>
      <c r="Q355" s="406"/>
      <c r="R355" s="46">
        <f t="shared" si="338"/>
        <v>0</v>
      </c>
      <c r="S355" s="28">
        <f t="shared" si="339"/>
        <v>0</v>
      </c>
      <c r="T355" s="28">
        <f t="shared" si="340"/>
        <v>0</v>
      </c>
      <c r="U355" s="28">
        <f t="shared" si="341"/>
        <v>0</v>
      </c>
      <c r="V355" s="45">
        <f t="shared" si="332"/>
        <v>0</v>
      </c>
      <c r="W355" s="67"/>
      <c r="X355" s="68"/>
      <c r="Y355" s="68"/>
      <c r="Z355" s="68"/>
      <c r="AA355" s="415"/>
      <c r="AB355" s="79"/>
      <c r="AC355" s="79"/>
      <c r="AD355" s="79"/>
      <c r="AE355" s="79"/>
      <c r="AF355" s="79"/>
    </row>
    <row r="356" spans="1:32" s="69" customFormat="1" ht="20.25" customHeight="1">
      <c r="A356" s="393"/>
      <c r="B356" s="50" t="s">
        <v>246</v>
      </c>
      <c r="C356" s="65">
        <v>0</v>
      </c>
      <c r="D356" s="65">
        <v>0</v>
      </c>
      <c r="E356" s="65">
        <v>0</v>
      </c>
      <c r="F356" s="65">
        <v>0</v>
      </c>
      <c r="G356" s="63">
        <f t="shared" si="337"/>
        <v>0</v>
      </c>
      <c r="H356" s="64"/>
      <c r="I356" s="68"/>
      <c r="J356" s="68"/>
      <c r="K356" s="68"/>
      <c r="L356" s="65">
        <v>0</v>
      </c>
      <c r="M356" s="65">
        <v>0</v>
      </c>
      <c r="N356" s="65">
        <v>0</v>
      </c>
      <c r="O356" s="65">
        <v>0</v>
      </c>
      <c r="P356" s="66">
        <f t="shared" si="342"/>
        <v>0</v>
      </c>
      <c r="Q356" s="406"/>
      <c r="R356" s="46">
        <f t="shared" si="338"/>
        <v>0</v>
      </c>
      <c r="S356" s="28">
        <f t="shared" si="339"/>
        <v>0</v>
      </c>
      <c r="T356" s="28">
        <f t="shared" si="340"/>
        <v>0</v>
      </c>
      <c r="U356" s="28">
        <f t="shared" si="341"/>
        <v>0</v>
      </c>
      <c r="V356" s="45">
        <f t="shared" si="332"/>
        <v>0</v>
      </c>
      <c r="W356" s="67"/>
      <c r="X356" s="68"/>
      <c r="Y356" s="68"/>
      <c r="Z356" s="68"/>
      <c r="AA356" s="415"/>
      <c r="AB356" s="79"/>
      <c r="AC356" s="79"/>
      <c r="AD356" s="79"/>
      <c r="AE356" s="79"/>
      <c r="AF356" s="79"/>
    </row>
    <row r="357" spans="1:32" s="69" customFormat="1" ht="20.25" customHeight="1">
      <c r="A357" s="393"/>
      <c r="B357" s="50" t="s">
        <v>247</v>
      </c>
      <c r="C357" s="65">
        <v>0</v>
      </c>
      <c r="D357" s="65">
        <v>0</v>
      </c>
      <c r="E357" s="65">
        <v>0</v>
      </c>
      <c r="F357" s="65">
        <v>0</v>
      </c>
      <c r="G357" s="63">
        <f t="shared" si="337"/>
        <v>0</v>
      </c>
      <c r="H357" s="64"/>
      <c r="I357" s="68"/>
      <c r="J357" s="68"/>
      <c r="K357" s="68"/>
      <c r="L357" s="65">
        <v>0</v>
      </c>
      <c r="M357" s="65">
        <v>0</v>
      </c>
      <c r="N357" s="65">
        <v>0</v>
      </c>
      <c r="O357" s="65">
        <v>0</v>
      </c>
      <c r="P357" s="66">
        <f t="shared" si="342"/>
        <v>0</v>
      </c>
      <c r="Q357" s="406"/>
      <c r="R357" s="46">
        <f t="shared" si="338"/>
        <v>0</v>
      </c>
      <c r="S357" s="28">
        <f t="shared" si="339"/>
        <v>0</v>
      </c>
      <c r="T357" s="28">
        <f t="shared" si="340"/>
        <v>0</v>
      </c>
      <c r="U357" s="28">
        <f t="shared" si="341"/>
        <v>0</v>
      </c>
      <c r="V357" s="45">
        <f t="shared" si="332"/>
        <v>0</v>
      </c>
      <c r="W357" s="67"/>
      <c r="X357" s="68"/>
      <c r="Y357" s="68"/>
      <c r="Z357" s="68"/>
      <c r="AA357" s="415"/>
      <c r="AB357" s="79"/>
      <c r="AC357" s="79"/>
      <c r="AD357" s="79"/>
      <c r="AE357" s="79"/>
      <c r="AF357" s="79"/>
    </row>
    <row r="358" spans="1:32" s="69" customFormat="1" ht="20.25" customHeight="1">
      <c r="A358" s="393"/>
      <c r="B358" s="50" t="s">
        <v>248</v>
      </c>
      <c r="C358" s="65">
        <v>0</v>
      </c>
      <c r="D358" s="65">
        <v>0</v>
      </c>
      <c r="E358" s="65">
        <v>0</v>
      </c>
      <c r="F358" s="65">
        <v>0</v>
      </c>
      <c r="G358" s="63">
        <f t="shared" si="337"/>
        <v>0</v>
      </c>
      <c r="H358" s="64"/>
      <c r="I358" s="68"/>
      <c r="J358" s="68"/>
      <c r="K358" s="68"/>
      <c r="L358" s="65">
        <v>0</v>
      </c>
      <c r="M358" s="65">
        <v>0</v>
      </c>
      <c r="N358" s="65">
        <v>0</v>
      </c>
      <c r="O358" s="65">
        <v>0</v>
      </c>
      <c r="P358" s="66">
        <f t="shared" si="342"/>
        <v>0</v>
      </c>
      <c r="Q358" s="406"/>
      <c r="R358" s="46">
        <f t="shared" si="338"/>
        <v>0</v>
      </c>
      <c r="S358" s="28">
        <f t="shared" si="339"/>
        <v>0</v>
      </c>
      <c r="T358" s="28">
        <f t="shared" si="340"/>
        <v>0</v>
      </c>
      <c r="U358" s="28">
        <f t="shared" si="341"/>
        <v>0</v>
      </c>
      <c r="V358" s="45">
        <f t="shared" si="332"/>
        <v>0</v>
      </c>
      <c r="W358" s="67"/>
      <c r="X358" s="68"/>
      <c r="Y358" s="68"/>
      <c r="Z358" s="68"/>
      <c r="AA358" s="415"/>
      <c r="AB358" s="79"/>
      <c r="AC358" s="79"/>
      <c r="AD358" s="79"/>
      <c r="AE358" s="79"/>
      <c r="AF358" s="79"/>
    </row>
    <row r="359" spans="1:32" s="69" customFormat="1" ht="20.25" customHeight="1">
      <c r="A359" s="393"/>
      <c r="B359" s="50" t="s">
        <v>249</v>
      </c>
      <c r="C359" s="65">
        <v>0</v>
      </c>
      <c r="D359" s="65">
        <v>0</v>
      </c>
      <c r="E359" s="65">
        <v>0</v>
      </c>
      <c r="F359" s="65">
        <v>0</v>
      </c>
      <c r="G359" s="63">
        <f t="shared" si="337"/>
        <v>0</v>
      </c>
      <c r="H359" s="64"/>
      <c r="I359" s="68"/>
      <c r="J359" s="68"/>
      <c r="K359" s="68"/>
      <c r="L359" s="65">
        <v>0</v>
      </c>
      <c r="M359" s="65">
        <v>0</v>
      </c>
      <c r="N359" s="65">
        <v>0</v>
      </c>
      <c r="O359" s="65">
        <v>0</v>
      </c>
      <c r="P359" s="66">
        <f t="shared" si="342"/>
        <v>0</v>
      </c>
      <c r="Q359" s="406"/>
      <c r="R359" s="46">
        <f t="shared" si="338"/>
        <v>0</v>
      </c>
      <c r="S359" s="28">
        <f t="shared" si="339"/>
        <v>0</v>
      </c>
      <c r="T359" s="28">
        <f t="shared" si="340"/>
        <v>0</v>
      </c>
      <c r="U359" s="28">
        <f t="shared" si="341"/>
        <v>0</v>
      </c>
      <c r="V359" s="45">
        <f t="shared" ref="V359:V421" si="343">SUM(R359:U359)</f>
        <v>0</v>
      </c>
      <c r="W359" s="67"/>
      <c r="X359" s="68"/>
      <c r="Y359" s="68"/>
      <c r="Z359" s="68"/>
      <c r="AA359" s="415"/>
      <c r="AB359" s="79"/>
      <c r="AC359" s="79"/>
      <c r="AD359" s="79"/>
      <c r="AE359" s="79"/>
      <c r="AF359" s="79"/>
    </row>
    <row r="360" spans="1:32" s="69" customFormat="1" ht="20.25" customHeight="1">
      <c r="A360" s="393"/>
      <c r="B360" s="50" t="s">
        <v>250</v>
      </c>
      <c r="C360" s="65">
        <v>0</v>
      </c>
      <c r="D360" s="65">
        <v>0</v>
      </c>
      <c r="E360" s="65">
        <v>0</v>
      </c>
      <c r="F360" s="65">
        <v>0</v>
      </c>
      <c r="G360" s="63">
        <f t="shared" si="337"/>
        <v>0</v>
      </c>
      <c r="H360" s="64"/>
      <c r="I360" s="68"/>
      <c r="J360" s="68"/>
      <c r="K360" s="68"/>
      <c r="L360" s="65">
        <v>0</v>
      </c>
      <c r="M360" s="65">
        <v>0</v>
      </c>
      <c r="N360" s="65">
        <v>0</v>
      </c>
      <c r="O360" s="65">
        <v>0</v>
      </c>
      <c r="P360" s="66">
        <f t="shared" si="342"/>
        <v>0</v>
      </c>
      <c r="Q360" s="406"/>
      <c r="R360" s="46">
        <f t="shared" si="338"/>
        <v>0</v>
      </c>
      <c r="S360" s="28">
        <f t="shared" si="339"/>
        <v>0</v>
      </c>
      <c r="T360" s="28">
        <f t="shared" si="340"/>
        <v>0</v>
      </c>
      <c r="U360" s="28">
        <f t="shared" si="341"/>
        <v>0</v>
      </c>
      <c r="V360" s="45">
        <f t="shared" si="343"/>
        <v>0</v>
      </c>
      <c r="W360" s="67"/>
      <c r="X360" s="68"/>
      <c r="Y360" s="68"/>
      <c r="Z360" s="68"/>
      <c r="AA360" s="415"/>
      <c r="AB360" s="79"/>
      <c r="AC360" s="79"/>
      <c r="AD360" s="79"/>
      <c r="AE360" s="79"/>
      <c r="AF360" s="79"/>
    </row>
    <row r="361" spans="1:32" s="69" customFormat="1" ht="20.25" customHeight="1">
      <c r="A361" s="393"/>
      <c r="B361" s="50" t="s">
        <v>251</v>
      </c>
      <c r="C361" s="65">
        <v>0</v>
      </c>
      <c r="D361" s="65">
        <v>0</v>
      </c>
      <c r="E361" s="65">
        <v>0</v>
      </c>
      <c r="F361" s="65">
        <v>0</v>
      </c>
      <c r="G361" s="63">
        <f t="shared" si="337"/>
        <v>0</v>
      </c>
      <c r="H361" s="64"/>
      <c r="I361" s="68"/>
      <c r="J361" s="68"/>
      <c r="K361" s="68"/>
      <c r="L361" s="65">
        <v>0</v>
      </c>
      <c r="M361" s="65">
        <v>0</v>
      </c>
      <c r="N361" s="65">
        <v>0</v>
      </c>
      <c r="O361" s="65">
        <v>0</v>
      </c>
      <c r="P361" s="66">
        <f t="shared" si="342"/>
        <v>0</v>
      </c>
      <c r="Q361" s="406"/>
      <c r="R361" s="46">
        <f t="shared" si="338"/>
        <v>0</v>
      </c>
      <c r="S361" s="28">
        <f t="shared" si="339"/>
        <v>0</v>
      </c>
      <c r="T361" s="28">
        <f t="shared" si="340"/>
        <v>0</v>
      </c>
      <c r="U361" s="28">
        <f t="shared" si="341"/>
        <v>0</v>
      </c>
      <c r="V361" s="45">
        <f t="shared" si="343"/>
        <v>0</v>
      </c>
      <c r="W361" s="67"/>
      <c r="X361" s="68"/>
      <c r="Y361" s="68"/>
      <c r="Z361" s="68"/>
      <c r="AA361" s="415"/>
      <c r="AB361" s="79"/>
      <c r="AC361" s="79"/>
      <c r="AD361" s="79"/>
      <c r="AE361" s="79"/>
      <c r="AF361" s="79"/>
    </row>
    <row r="362" spans="1:32" s="69" customFormat="1" ht="20.25" customHeight="1">
      <c r="A362" s="393"/>
      <c r="B362" s="50" t="s">
        <v>252</v>
      </c>
      <c r="C362" s="65">
        <v>0</v>
      </c>
      <c r="D362" s="65">
        <v>0</v>
      </c>
      <c r="E362" s="65">
        <v>0</v>
      </c>
      <c r="F362" s="65">
        <v>0</v>
      </c>
      <c r="G362" s="63">
        <f t="shared" si="337"/>
        <v>0</v>
      </c>
      <c r="H362" s="64"/>
      <c r="I362" s="68"/>
      <c r="J362" s="68"/>
      <c r="K362" s="68"/>
      <c r="L362" s="65">
        <v>0</v>
      </c>
      <c r="M362" s="65">
        <v>0</v>
      </c>
      <c r="N362" s="65">
        <v>0</v>
      </c>
      <c r="O362" s="65">
        <v>0</v>
      </c>
      <c r="P362" s="66">
        <f t="shared" si="342"/>
        <v>0</v>
      </c>
      <c r="Q362" s="406"/>
      <c r="R362" s="46">
        <f t="shared" si="338"/>
        <v>0</v>
      </c>
      <c r="S362" s="28">
        <f t="shared" si="339"/>
        <v>0</v>
      </c>
      <c r="T362" s="28">
        <f t="shared" si="340"/>
        <v>0</v>
      </c>
      <c r="U362" s="28">
        <f t="shared" si="341"/>
        <v>0</v>
      </c>
      <c r="V362" s="45">
        <f t="shared" si="343"/>
        <v>0</v>
      </c>
      <c r="W362" s="67"/>
      <c r="X362" s="68"/>
      <c r="Y362" s="68"/>
      <c r="Z362" s="68"/>
      <c r="AA362" s="415"/>
      <c r="AB362" s="79"/>
      <c r="AC362" s="79"/>
      <c r="AD362" s="79"/>
      <c r="AE362" s="79"/>
      <c r="AF362" s="79"/>
    </row>
    <row r="363" spans="1:32" s="69" customFormat="1" ht="20.25" customHeight="1">
      <c r="A363" s="393"/>
      <c r="B363" s="50" t="s">
        <v>253</v>
      </c>
      <c r="C363" s="65">
        <v>0</v>
      </c>
      <c r="D363" s="65">
        <v>0</v>
      </c>
      <c r="E363" s="65">
        <v>0</v>
      </c>
      <c r="F363" s="65">
        <v>0</v>
      </c>
      <c r="G363" s="63">
        <f t="shared" si="337"/>
        <v>0</v>
      </c>
      <c r="H363" s="64"/>
      <c r="I363" s="68"/>
      <c r="J363" s="68"/>
      <c r="K363" s="68"/>
      <c r="L363" s="65">
        <v>0</v>
      </c>
      <c r="M363" s="65">
        <v>0</v>
      </c>
      <c r="N363" s="65">
        <v>0</v>
      </c>
      <c r="O363" s="65">
        <v>0</v>
      </c>
      <c r="P363" s="66">
        <f t="shared" si="342"/>
        <v>0</v>
      </c>
      <c r="Q363" s="406"/>
      <c r="R363" s="46">
        <f t="shared" si="338"/>
        <v>0</v>
      </c>
      <c r="S363" s="28">
        <f t="shared" si="339"/>
        <v>0</v>
      </c>
      <c r="T363" s="28">
        <f t="shared" si="340"/>
        <v>0</v>
      </c>
      <c r="U363" s="28">
        <f t="shared" si="341"/>
        <v>0</v>
      </c>
      <c r="V363" s="45">
        <f t="shared" si="343"/>
        <v>0</v>
      </c>
      <c r="W363" s="67"/>
      <c r="X363" s="68"/>
      <c r="Y363" s="68"/>
      <c r="Z363" s="68"/>
      <c r="AA363" s="415"/>
      <c r="AB363" s="79"/>
      <c r="AC363" s="79"/>
      <c r="AD363" s="79"/>
      <c r="AE363" s="79"/>
      <c r="AF363" s="79"/>
    </row>
    <row r="364" spans="1:32" s="69" customFormat="1" ht="20.25" customHeight="1">
      <c r="A364" s="393"/>
      <c r="B364" s="50" t="s">
        <v>254</v>
      </c>
      <c r="C364" s="65">
        <v>0</v>
      </c>
      <c r="D364" s="65">
        <v>0</v>
      </c>
      <c r="E364" s="65">
        <v>0</v>
      </c>
      <c r="F364" s="65">
        <v>0</v>
      </c>
      <c r="G364" s="63">
        <f t="shared" si="337"/>
        <v>0</v>
      </c>
      <c r="H364" s="64"/>
      <c r="I364" s="68"/>
      <c r="J364" s="68"/>
      <c r="K364" s="68"/>
      <c r="L364" s="65">
        <v>0</v>
      </c>
      <c r="M364" s="65">
        <v>0</v>
      </c>
      <c r="N364" s="65">
        <v>0</v>
      </c>
      <c r="O364" s="65">
        <v>0</v>
      </c>
      <c r="P364" s="66">
        <f t="shared" si="342"/>
        <v>0</v>
      </c>
      <c r="Q364" s="406"/>
      <c r="R364" s="46">
        <f t="shared" si="338"/>
        <v>0</v>
      </c>
      <c r="S364" s="28">
        <f t="shared" si="339"/>
        <v>0</v>
      </c>
      <c r="T364" s="28">
        <f t="shared" si="340"/>
        <v>0</v>
      </c>
      <c r="U364" s="28">
        <f t="shared" si="341"/>
        <v>0</v>
      </c>
      <c r="V364" s="45">
        <f t="shared" si="343"/>
        <v>0</v>
      </c>
      <c r="W364" s="67"/>
      <c r="X364" s="68"/>
      <c r="Y364" s="68"/>
      <c r="Z364" s="68"/>
      <c r="AA364" s="415"/>
      <c r="AB364" s="79"/>
      <c r="AC364" s="79"/>
      <c r="AD364" s="79"/>
      <c r="AE364" s="79"/>
      <c r="AF364" s="79"/>
    </row>
    <row r="365" spans="1:32" s="69" customFormat="1" ht="20.25" customHeight="1">
      <c r="A365" s="393"/>
      <c r="B365" s="42" t="s">
        <v>216</v>
      </c>
      <c r="C365" s="65">
        <v>0</v>
      </c>
      <c r="D365" s="65">
        <v>0</v>
      </c>
      <c r="E365" s="65">
        <v>0</v>
      </c>
      <c r="F365" s="65">
        <v>0</v>
      </c>
      <c r="G365" s="63">
        <f t="shared" si="337"/>
        <v>0</v>
      </c>
      <c r="H365" s="64"/>
      <c r="I365" s="68"/>
      <c r="J365" s="68"/>
      <c r="K365" s="68"/>
      <c r="L365" s="65">
        <v>0</v>
      </c>
      <c r="M365" s="65">
        <v>0</v>
      </c>
      <c r="N365" s="65">
        <v>0</v>
      </c>
      <c r="O365" s="65">
        <v>0</v>
      </c>
      <c r="P365" s="66">
        <f t="shared" si="342"/>
        <v>0</v>
      </c>
      <c r="Q365" s="406"/>
      <c r="R365" s="46">
        <f t="shared" si="338"/>
        <v>0</v>
      </c>
      <c r="S365" s="28">
        <f t="shared" si="339"/>
        <v>0</v>
      </c>
      <c r="T365" s="28">
        <f t="shared" si="340"/>
        <v>0</v>
      </c>
      <c r="U365" s="28">
        <f t="shared" si="341"/>
        <v>0</v>
      </c>
      <c r="V365" s="45">
        <f t="shared" si="343"/>
        <v>0</v>
      </c>
      <c r="W365" s="67"/>
      <c r="X365" s="68"/>
      <c r="Y365" s="68"/>
      <c r="Z365" s="68"/>
      <c r="AA365" s="415"/>
      <c r="AB365" s="79"/>
      <c r="AC365" s="79"/>
      <c r="AD365" s="79"/>
      <c r="AE365" s="79"/>
      <c r="AF365" s="79"/>
    </row>
    <row r="366" spans="1:32" s="69" customFormat="1" ht="20.25" customHeight="1">
      <c r="A366" s="393"/>
      <c r="B366" s="42"/>
      <c r="C366" s="65">
        <f>SUM(C346:C365)</f>
        <v>14084728.029999999</v>
      </c>
      <c r="D366" s="65">
        <f t="shared" ref="D366:G366" si="344">SUM(D346:D365)</f>
        <v>2565666.56</v>
      </c>
      <c r="E366" s="65">
        <f t="shared" si="344"/>
        <v>0</v>
      </c>
      <c r="F366" s="65">
        <f t="shared" si="344"/>
        <v>11234863.709999999</v>
      </c>
      <c r="G366" s="65">
        <f t="shared" si="344"/>
        <v>27885258.300000004</v>
      </c>
      <c r="H366" s="63"/>
      <c r="I366" s="63"/>
      <c r="J366" s="63"/>
      <c r="K366" s="63"/>
      <c r="L366" s="63">
        <f>SUM(L346:L365)</f>
        <v>0</v>
      </c>
      <c r="M366" s="63">
        <f>SUM(M346:M365)</f>
        <v>0</v>
      </c>
      <c r="N366" s="63">
        <f>SUM(N346:N365)</f>
        <v>0</v>
      </c>
      <c r="O366" s="63">
        <f>SUM(O346:O365)</f>
        <v>0</v>
      </c>
      <c r="P366" s="63">
        <f>SUM(P346:P365)</f>
        <v>0</v>
      </c>
      <c r="Q366" s="410"/>
      <c r="R366" s="46">
        <f t="shared" si="338"/>
        <v>14084728.029999999</v>
      </c>
      <c r="S366" s="28">
        <f t="shared" si="339"/>
        <v>2565666.56</v>
      </c>
      <c r="T366" s="28">
        <f t="shared" si="340"/>
        <v>0</v>
      </c>
      <c r="U366" s="28">
        <f t="shared" si="341"/>
        <v>11234863.709999999</v>
      </c>
      <c r="V366" s="45">
        <f t="shared" si="343"/>
        <v>27885258.299999997</v>
      </c>
      <c r="W366" s="67"/>
      <c r="X366" s="68"/>
      <c r="Y366" s="68"/>
      <c r="Z366" s="68"/>
      <c r="AA366" s="415"/>
      <c r="AB366" s="79"/>
      <c r="AC366" s="79"/>
      <c r="AD366" s="79"/>
      <c r="AE366" s="79"/>
      <c r="AF366" s="79"/>
    </row>
    <row r="367" spans="1:32" s="69" customFormat="1" ht="20.25" customHeight="1">
      <c r="A367" s="393"/>
      <c r="B367" s="52"/>
      <c r="C367" s="76"/>
      <c r="D367" s="76"/>
      <c r="E367" s="77"/>
      <c r="F367" s="76"/>
      <c r="G367" s="87"/>
      <c r="H367" s="81"/>
      <c r="L367" s="82"/>
      <c r="M367" s="82"/>
      <c r="N367" s="82"/>
      <c r="O367" s="82"/>
      <c r="P367" s="80"/>
      <c r="Q367" s="407"/>
      <c r="R367" s="27">
        <f>24284072.96-10199344.93</f>
        <v>14084728.030000001</v>
      </c>
      <c r="S367" s="27">
        <f>3601185.34-1035518.78</f>
        <v>2565666.5599999996</v>
      </c>
      <c r="T367" s="27">
        <v>0</v>
      </c>
      <c r="U367" s="27">
        <f>10199344.93+1035518.78</f>
        <v>11234863.709999999</v>
      </c>
      <c r="V367" s="29">
        <f>+R367+S367+T367+U367</f>
        <v>27885258.299999997</v>
      </c>
      <c r="AA367" s="79"/>
      <c r="AB367" s="79"/>
      <c r="AC367" s="79"/>
      <c r="AD367" s="79"/>
      <c r="AE367" s="79"/>
      <c r="AF367" s="79"/>
    </row>
    <row r="368" spans="1:32" s="69" customFormat="1" ht="20.25" customHeight="1">
      <c r="A368" s="393"/>
      <c r="B368" s="640" t="s">
        <v>258</v>
      </c>
      <c r="C368" s="640"/>
      <c r="D368" s="640"/>
      <c r="E368" s="640"/>
      <c r="F368" s="640"/>
      <c r="G368" s="640"/>
      <c r="H368" s="81"/>
      <c r="L368" s="82"/>
      <c r="M368" s="82"/>
      <c r="N368" s="82"/>
      <c r="O368" s="82"/>
      <c r="P368" s="80"/>
      <c r="Q368" s="407"/>
      <c r="R368" s="27"/>
      <c r="S368" s="27"/>
      <c r="T368" s="27"/>
      <c r="U368" s="27"/>
      <c r="V368" s="29"/>
      <c r="AA368" s="79"/>
      <c r="AB368" s="79"/>
      <c r="AC368" s="79"/>
      <c r="AD368" s="79"/>
      <c r="AE368" s="79"/>
      <c r="AF368" s="79"/>
    </row>
    <row r="369" spans="1:32" s="69" customFormat="1" ht="20.25" customHeight="1">
      <c r="A369" s="393"/>
      <c r="B369" s="70" t="s">
        <v>9</v>
      </c>
      <c r="C369" s="83" t="s">
        <v>206</v>
      </c>
      <c r="D369" s="83" t="s">
        <v>207</v>
      </c>
      <c r="E369" s="83" t="s">
        <v>10</v>
      </c>
      <c r="F369" s="83" t="s">
        <v>11</v>
      </c>
      <c r="G369" s="84" t="s">
        <v>208</v>
      </c>
      <c r="H369" s="64"/>
      <c r="I369" s="68"/>
      <c r="J369" s="68"/>
      <c r="K369" s="68"/>
      <c r="L369" s="65"/>
      <c r="M369" s="65"/>
      <c r="N369" s="65"/>
      <c r="O369" s="65"/>
      <c r="P369" s="66"/>
      <c r="Q369" s="406"/>
      <c r="R369" s="46"/>
      <c r="S369" s="28"/>
      <c r="T369" s="28"/>
      <c r="U369" s="28"/>
      <c r="V369" s="45"/>
      <c r="W369" s="67"/>
      <c r="X369" s="68"/>
      <c r="Y369" s="68"/>
      <c r="Z369" s="68"/>
      <c r="AA369" s="415"/>
      <c r="AB369" s="79"/>
      <c r="AC369" s="79"/>
      <c r="AD369" s="79"/>
      <c r="AE369" s="79"/>
      <c r="AF369" s="79"/>
    </row>
    <row r="370" spans="1:32" s="69" customFormat="1" ht="20.25" customHeight="1">
      <c r="A370" s="393"/>
      <c r="B370" s="42" t="s">
        <v>237</v>
      </c>
      <c r="C370" s="62">
        <v>0</v>
      </c>
      <c r="D370" s="62">
        <v>480347.85</v>
      </c>
      <c r="E370" s="376">
        <v>0</v>
      </c>
      <c r="F370" s="62">
        <v>0</v>
      </c>
      <c r="G370" s="63">
        <f>SUM(C370:F370)</f>
        <v>480347.85</v>
      </c>
      <c r="H370" s="64"/>
      <c r="I370" s="68"/>
      <c r="J370" s="68"/>
      <c r="K370" s="68"/>
      <c r="L370" s="65">
        <v>0</v>
      </c>
      <c r="M370" s="65">
        <v>0</v>
      </c>
      <c r="N370" s="65">
        <v>0</v>
      </c>
      <c r="O370" s="65">
        <v>0</v>
      </c>
      <c r="P370" s="66">
        <f>SUM(L370:O370)</f>
        <v>0</v>
      </c>
      <c r="Q370" s="406"/>
      <c r="R370" s="46">
        <f t="shared" ref="R370:R390" si="345">+C370+L370</f>
        <v>0</v>
      </c>
      <c r="S370" s="28">
        <f t="shared" ref="S370:S390" si="346">+D370+M370</f>
        <v>480347.85</v>
      </c>
      <c r="T370" s="28">
        <f t="shared" ref="T370:T390" si="347">+E370+N370</f>
        <v>0</v>
      </c>
      <c r="U370" s="28">
        <f t="shared" ref="U370:U390" si="348">+F370+O370</f>
        <v>0</v>
      </c>
      <c r="V370" s="45">
        <f t="shared" si="343"/>
        <v>480347.85</v>
      </c>
      <c r="W370" s="67"/>
      <c r="X370" s="68"/>
      <c r="Y370" s="68"/>
      <c r="Z370" s="68"/>
      <c r="AA370" s="415"/>
      <c r="AB370" s="79"/>
      <c r="AC370" s="79"/>
      <c r="AD370" s="79"/>
      <c r="AE370" s="79"/>
      <c r="AF370" s="79"/>
    </row>
    <row r="371" spans="1:32" s="69" customFormat="1" ht="20.25" customHeight="1">
      <c r="A371" s="393"/>
      <c r="B371" s="42" t="s">
        <v>238</v>
      </c>
      <c r="C371" s="62">
        <v>18574168.789999999</v>
      </c>
      <c r="D371" s="62">
        <f>6017510.46+344700+109140</f>
        <v>6471350.46</v>
      </c>
      <c r="E371" s="376">
        <v>0</v>
      </c>
      <c r="F371" s="62">
        <v>36145341.420000002</v>
      </c>
      <c r="G371" s="63">
        <f t="shared" ref="G371:G389" si="349">SUM(C371:F371)</f>
        <v>61190860.670000002</v>
      </c>
      <c r="H371" s="64"/>
      <c r="I371" s="68"/>
      <c r="J371" s="68"/>
      <c r="K371" s="68"/>
      <c r="L371" s="65">
        <v>0</v>
      </c>
      <c r="M371" s="65">
        <v>0</v>
      </c>
      <c r="N371" s="65">
        <v>0</v>
      </c>
      <c r="O371" s="65">
        <v>0</v>
      </c>
      <c r="P371" s="66">
        <f t="shared" ref="P371:P389" si="350">SUM(L371:O371)</f>
        <v>0</v>
      </c>
      <c r="Q371" s="406"/>
      <c r="R371" s="46">
        <f t="shared" si="345"/>
        <v>18574168.789999999</v>
      </c>
      <c r="S371" s="28">
        <f t="shared" si="346"/>
        <v>6471350.46</v>
      </c>
      <c r="T371" s="28">
        <f t="shared" si="347"/>
        <v>0</v>
      </c>
      <c r="U371" s="28">
        <f t="shared" si="348"/>
        <v>36145341.420000002</v>
      </c>
      <c r="V371" s="45">
        <f t="shared" si="343"/>
        <v>61190860.670000002</v>
      </c>
      <c r="W371" s="67"/>
      <c r="X371" s="68"/>
      <c r="Y371" s="68"/>
      <c r="Z371" s="68"/>
      <c r="AA371" s="415"/>
      <c r="AB371" s="79"/>
      <c r="AC371" s="79"/>
      <c r="AD371" s="79"/>
      <c r="AE371" s="79"/>
      <c r="AF371" s="79"/>
    </row>
    <row r="372" spans="1:32" s="69" customFormat="1" ht="20.25" customHeight="1">
      <c r="A372" s="393"/>
      <c r="B372" s="70" t="s">
        <v>239</v>
      </c>
      <c r="C372" s="62">
        <v>0</v>
      </c>
      <c r="D372" s="376">
        <v>0</v>
      </c>
      <c r="E372" s="376">
        <v>0</v>
      </c>
      <c r="F372" s="376">
        <v>0</v>
      </c>
      <c r="G372" s="63">
        <f t="shared" si="349"/>
        <v>0</v>
      </c>
      <c r="H372" s="64"/>
      <c r="I372" s="68"/>
      <c r="J372" s="68"/>
      <c r="K372" s="68"/>
      <c r="L372" s="65">
        <v>0</v>
      </c>
      <c r="M372" s="65">
        <v>0</v>
      </c>
      <c r="N372" s="65">
        <v>0</v>
      </c>
      <c r="O372" s="65">
        <v>0</v>
      </c>
      <c r="P372" s="66">
        <f t="shared" si="350"/>
        <v>0</v>
      </c>
      <c r="Q372" s="406"/>
      <c r="R372" s="46">
        <f t="shared" si="345"/>
        <v>0</v>
      </c>
      <c r="S372" s="28">
        <f t="shared" si="346"/>
        <v>0</v>
      </c>
      <c r="T372" s="28">
        <f t="shared" si="347"/>
        <v>0</v>
      </c>
      <c r="U372" s="28">
        <f t="shared" si="348"/>
        <v>0</v>
      </c>
      <c r="V372" s="45">
        <f t="shared" si="343"/>
        <v>0</v>
      </c>
      <c r="W372" s="67"/>
      <c r="X372" s="68"/>
      <c r="Y372" s="68"/>
      <c r="Z372" s="68"/>
      <c r="AA372" s="415"/>
      <c r="AB372" s="79"/>
      <c r="AC372" s="79"/>
      <c r="AD372" s="79"/>
      <c r="AE372" s="79"/>
      <c r="AF372" s="79"/>
    </row>
    <row r="373" spans="1:32" s="69" customFormat="1" ht="20.25" customHeight="1">
      <c r="A373" s="393"/>
      <c r="B373" s="70" t="s">
        <v>240</v>
      </c>
      <c r="C373" s="62">
        <v>429800</v>
      </c>
      <c r="D373" s="62">
        <v>0</v>
      </c>
      <c r="E373" s="376">
        <v>0</v>
      </c>
      <c r="F373" s="62">
        <v>0</v>
      </c>
      <c r="G373" s="63">
        <f t="shared" si="349"/>
        <v>429800</v>
      </c>
      <c r="H373" s="64"/>
      <c r="I373" s="68"/>
      <c r="J373" s="68"/>
      <c r="K373" s="68"/>
      <c r="L373" s="65">
        <v>0</v>
      </c>
      <c r="M373" s="65">
        <v>0</v>
      </c>
      <c r="N373" s="65">
        <v>0</v>
      </c>
      <c r="O373" s="65">
        <v>0</v>
      </c>
      <c r="P373" s="66">
        <f t="shared" si="350"/>
        <v>0</v>
      </c>
      <c r="Q373" s="406"/>
      <c r="R373" s="46">
        <f t="shared" si="345"/>
        <v>429800</v>
      </c>
      <c r="S373" s="28">
        <f t="shared" si="346"/>
        <v>0</v>
      </c>
      <c r="T373" s="28">
        <f t="shared" si="347"/>
        <v>0</v>
      </c>
      <c r="U373" s="28">
        <f t="shared" si="348"/>
        <v>0</v>
      </c>
      <c r="V373" s="45">
        <f t="shared" si="343"/>
        <v>429800</v>
      </c>
      <c r="W373" s="67"/>
      <c r="X373" s="68"/>
      <c r="Y373" s="68"/>
      <c r="Z373" s="68"/>
      <c r="AA373" s="415"/>
      <c r="AB373" s="79"/>
      <c r="AC373" s="79"/>
      <c r="AD373" s="79"/>
      <c r="AE373" s="79"/>
      <c r="AF373" s="79"/>
    </row>
    <row r="374" spans="1:32" s="69" customFormat="1" ht="20.25" customHeight="1">
      <c r="A374" s="393"/>
      <c r="B374" s="42" t="s">
        <v>241</v>
      </c>
      <c r="C374" s="62">
        <v>0</v>
      </c>
      <c r="D374" s="62">
        <v>0</v>
      </c>
      <c r="E374" s="376">
        <v>0</v>
      </c>
      <c r="F374" s="62">
        <v>0</v>
      </c>
      <c r="G374" s="63">
        <f t="shared" si="349"/>
        <v>0</v>
      </c>
      <c r="H374" s="64"/>
      <c r="I374" s="68"/>
      <c r="J374" s="68"/>
      <c r="K374" s="68"/>
      <c r="L374" s="65">
        <v>0</v>
      </c>
      <c r="M374" s="65">
        <v>0</v>
      </c>
      <c r="N374" s="65">
        <v>0</v>
      </c>
      <c r="O374" s="65">
        <v>0</v>
      </c>
      <c r="P374" s="66">
        <f t="shared" si="350"/>
        <v>0</v>
      </c>
      <c r="Q374" s="406"/>
      <c r="R374" s="46">
        <f t="shared" si="345"/>
        <v>0</v>
      </c>
      <c r="S374" s="28">
        <f t="shared" si="346"/>
        <v>0</v>
      </c>
      <c r="T374" s="28">
        <f t="shared" si="347"/>
        <v>0</v>
      </c>
      <c r="U374" s="28">
        <f t="shared" si="348"/>
        <v>0</v>
      </c>
      <c r="V374" s="45">
        <f t="shared" si="343"/>
        <v>0</v>
      </c>
      <c r="W374" s="67"/>
      <c r="X374" s="68"/>
      <c r="Y374" s="68"/>
      <c r="Z374" s="68"/>
      <c r="AA374" s="415"/>
      <c r="AB374" s="79"/>
      <c r="AC374" s="79"/>
      <c r="AD374" s="79"/>
      <c r="AE374" s="79"/>
      <c r="AF374" s="79"/>
    </row>
    <row r="375" spans="1:32" s="69" customFormat="1" ht="20.25" customHeight="1">
      <c r="A375" s="393"/>
      <c r="B375" s="42" t="s">
        <v>242</v>
      </c>
      <c r="C375" s="62">
        <v>0</v>
      </c>
      <c r="D375" s="62">
        <v>0</v>
      </c>
      <c r="E375" s="376">
        <v>0</v>
      </c>
      <c r="F375" s="62">
        <v>0</v>
      </c>
      <c r="G375" s="63">
        <f t="shared" si="349"/>
        <v>0</v>
      </c>
      <c r="H375" s="64"/>
      <c r="I375" s="68"/>
      <c r="J375" s="68"/>
      <c r="K375" s="68"/>
      <c r="L375" s="65">
        <v>0</v>
      </c>
      <c r="M375" s="65">
        <v>0</v>
      </c>
      <c r="N375" s="65">
        <v>0</v>
      </c>
      <c r="O375" s="65">
        <v>0</v>
      </c>
      <c r="P375" s="66">
        <f t="shared" si="350"/>
        <v>0</v>
      </c>
      <c r="Q375" s="406"/>
      <c r="R375" s="46">
        <f t="shared" si="345"/>
        <v>0</v>
      </c>
      <c r="S375" s="28">
        <f t="shared" si="346"/>
        <v>0</v>
      </c>
      <c r="T375" s="28">
        <f t="shared" si="347"/>
        <v>0</v>
      </c>
      <c r="U375" s="28">
        <f t="shared" si="348"/>
        <v>0</v>
      </c>
      <c r="V375" s="45">
        <f t="shared" si="343"/>
        <v>0</v>
      </c>
      <c r="W375" s="67"/>
      <c r="X375" s="68"/>
      <c r="Y375" s="68"/>
      <c r="Z375" s="68"/>
      <c r="AA375" s="415"/>
      <c r="AB375" s="79"/>
      <c r="AC375" s="79"/>
      <c r="AD375" s="79"/>
      <c r="AE375" s="79"/>
      <c r="AF375" s="79"/>
    </row>
    <row r="376" spans="1:32" s="69" customFormat="1" ht="20.25" customHeight="1">
      <c r="A376" s="393"/>
      <c r="B376" s="50" t="s">
        <v>438</v>
      </c>
      <c r="C376" s="65">
        <v>370550</v>
      </c>
      <c r="D376" s="65">
        <v>0</v>
      </c>
      <c r="E376" s="83">
        <v>0</v>
      </c>
      <c r="F376" s="65">
        <v>0</v>
      </c>
      <c r="G376" s="63">
        <f t="shared" si="349"/>
        <v>370550</v>
      </c>
      <c r="H376" s="64"/>
      <c r="I376" s="68"/>
      <c r="J376" s="68"/>
      <c r="K376" s="68"/>
      <c r="L376" s="65">
        <v>0</v>
      </c>
      <c r="M376" s="65">
        <v>0</v>
      </c>
      <c r="N376" s="65">
        <v>0</v>
      </c>
      <c r="O376" s="65">
        <v>0</v>
      </c>
      <c r="P376" s="66">
        <f t="shared" si="350"/>
        <v>0</v>
      </c>
      <c r="Q376" s="406"/>
      <c r="R376" s="46">
        <f t="shared" si="345"/>
        <v>370550</v>
      </c>
      <c r="S376" s="28">
        <f t="shared" si="346"/>
        <v>0</v>
      </c>
      <c r="T376" s="28">
        <f t="shared" si="347"/>
        <v>0</v>
      </c>
      <c r="U376" s="28">
        <f t="shared" si="348"/>
        <v>0</v>
      </c>
      <c r="V376" s="45">
        <f t="shared" si="343"/>
        <v>370550</v>
      </c>
      <c r="W376" s="67"/>
      <c r="X376" s="68"/>
      <c r="Y376" s="68"/>
      <c r="Z376" s="68"/>
      <c r="AA376" s="415"/>
      <c r="AB376" s="79"/>
      <c r="AC376" s="79"/>
      <c r="AD376" s="79"/>
      <c r="AE376" s="79"/>
      <c r="AF376" s="79"/>
    </row>
    <row r="377" spans="1:32" s="69" customFormat="1" ht="20.25" customHeight="1">
      <c r="A377" s="393"/>
      <c r="B377" s="50" t="s">
        <v>243</v>
      </c>
      <c r="C377" s="65">
        <v>310800</v>
      </c>
      <c r="D377" s="65">
        <v>0</v>
      </c>
      <c r="E377" s="83">
        <v>0</v>
      </c>
      <c r="F377" s="65">
        <v>0</v>
      </c>
      <c r="G377" s="63">
        <f t="shared" si="349"/>
        <v>310800</v>
      </c>
      <c r="H377" s="64"/>
      <c r="I377" s="68"/>
      <c r="J377" s="68"/>
      <c r="K377" s="68"/>
      <c r="L377" s="65">
        <v>0</v>
      </c>
      <c r="M377" s="65">
        <v>0</v>
      </c>
      <c r="N377" s="65">
        <v>0</v>
      </c>
      <c r="O377" s="65">
        <v>0</v>
      </c>
      <c r="P377" s="66">
        <f t="shared" si="350"/>
        <v>0</v>
      </c>
      <c r="Q377" s="406"/>
      <c r="R377" s="46">
        <f t="shared" si="345"/>
        <v>310800</v>
      </c>
      <c r="S377" s="28">
        <f t="shared" si="346"/>
        <v>0</v>
      </c>
      <c r="T377" s="28">
        <f t="shared" si="347"/>
        <v>0</v>
      </c>
      <c r="U377" s="28">
        <f t="shared" si="348"/>
        <v>0</v>
      </c>
      <c r="V377" s="45">
        <f t="shared" si="343"/>
        <v>310800</v>
      </c>
      <c r="W377" s="67"/>
      <c r="X377" s="68"/>
      <c r="Y377" s="68"/>
      <c r="Z377" s="68"/>
      <c r="AA377" s="415"/>
      <c r="AB377" s="79"/>
      <c r="AC377" s="79"/>
      <c r="AD377" s="79"/>
      <c r="AE377" s="79"/>
      <c r="AF377" s="79"/>
    </row>
    <row r="378" spans="1:32" s="69" customFormat="1" ht="20.25" customHeight="1">
      <c r="A378" s="393"/>
      <c r="B378" s="50" t="s">
        <v>244</v>
      </c>
      <c r="C378" s="65">
        <v>0</v>
      </c>
      <c r="D378" s="65">
        <v>0</v>
      </c>
      <c r="E378" s="83">
        <v>0</v>
      </c>
      <c r="F378" s="65">
        <v>0</v>
      </c>
      <c r="G378" s="63">
        <f t="shared" si="349"/>
        <v>0</v>
      </c>
      <c r="H378" s="64"/>
      <c r="I378" s="68"/>
      <c r="J378" s="68"/>
      <c r="K378" s="68"/>
      <c r="L378" s="65">
        <v>0</v>
      </c>
      <c r="M378" s="65">
        <v>0</v>
      </c>
      <c r="N378" s="65">
        <v>0</v>
      </c>
      <c r="O378" s="65">
        <v>0</v>
      </c>
      <c r="P378" s="66">
        <f t="shared" si="350"/>
        <v>0</v>
      </c>
      <c r="Q378" s="406"/>
      <c r="R378" s="46">
        <f t="shared" si="345"/>
        <v>0</v>
      </c>
      <c r="S378" s="28">
        <f t="shared" si="346"/>
        <v>0</v>
      </c>
      <c r="T378" s="28">
        <f t="shared" si="347"/>
        <v>0</v>
      </c>
      <c r="U378" s="28">
        <f t="shared" si="348"/>
        <v>0</v>
      </c>
      <c r="V378" s="45">
        <f t="shared" si="343"/>
        <v>0</v>
      </c>
      <c r="W378" s="67"/>
      <c r="X378" s="68"/>
      <c r="Y378" s="68"/>
      <c r="Z378" s="68"/>
      <c r="AA378" s="415"/>
      <c r="AB378" s="79"/>
      <c r="AC378" s="79"/>
      <c r="AD378" s="79"/>
      <c r="AE378" s="79"/>
      <c r="AF378" s="79"/>
    </row>
    <row r="379" spans="1:32" s="69" customFormat="1" ht="20.25" customHeight="1">
      <c r="A379" s="393"/>
      <c r="B379" s="50" t="s">
        <v>245</v>
      </c>
      <c r="C379" s="65">
        <v>0</v>
      </c>
      <c r="D379" s="65">
        <v>0</v>
      </c>
      <c r="E379" s="83">
        <v>0</v>
      </c>
      <c r="F379" s="65">
        <v>0</v>
      </c>
      <c r="G379" s="63">
        <f t="shared" si="349"/>
        <v>0</v>
      </c>
      <c r="H379" s="64"/>
      <c r="I379" s="68"/>
      <c r="J379" s="68"/>
      <c r="K379" s="68"/>
      <c r="L379" s="65">
        <v>0</v>
      </c>
      <c r="M379" s="65">
        <v>0</v>
      </c>
      <c r="N379" s="65">
        <v>0</v>
      </c>
      <c r="O379" s="65">
        <v>0</v>
      </c>
      <c r="P379" s="66">
        <f t="shared" si="350"/>
        <v>0</v>
      </c>
      <c r="Q379" s="406"/>
      <c r="R379" s="46">
        <f t="shared" si="345"/>
        <v>0</v>
      </c>
      <c r="S379" s="28">
        <f t="shared" si="346"/>
        <v>0</v>
      </c>
      <c r="T379" s="28">
        <f t="shared" si="347"/>
        <v>0</v>
      </c>
      <c r="U379" s="28">
        <f t="shared" si="348"/>
        <v>0</v>
      </c>
      <c r="V379" s="45">
        <f t="shared" si="343"/>
        <v>0</v>
      </c>
      <c r="W379" s="67"/>
      <c r="X379" s="68"/>
      <c r="Y379" s="68"/>
      <c r="Z379" s="68"/>
      <c r="AA379" s="415"/>
      <c r="AB379" s="79"/>
      <c r="AC379" s="79"/>
      <c r="AD379" s="79"/>
      <c r="AE379" s="79"/>
      <c r="AF379" s="79"/>
    </row>
    <row r="380" spans="1:32" s="69" customFormat="1" ht="20.25" customHeight="1">
      <c r="A380" s="393"/>
      <c r="B380" s="50" t="s">
        <v>246</v>
      </c>
      <c r="C380" s="65">
        <v>0</v>
      </c>
      <c r="D380" s="65">
        <v>0</v>
      </c>
      <c r="E380" s="83">
        <v>0</v>
      </c>
      <c r="F380" s="65">
        <v>0</v>
      </c>
      <c r="G380" s="63">
        <f t="shared" si="349"/>
        <v>0</v>
      </c>
      <c r="H380" s="64"/>
      <c r="I380" s="68"/>
      <c r="J380" s="68"/>
      <c r="K380" s="68"/>
      <c r="L380" s="65">
        <v>0</v>
      </c>
      <c r="M380" s="65">
        <v>0</v>
      </c>
      <c r="N380" s="65">
        <v>0</v>
      </c>
      <c r="O380" s="65">
        <v>0</v>
      </c>
      <c r="P380" s="66">
        <f t="shared" si="350"/>
        <v>0</v>
      </c>
      <c r="Q380" s="406"/>
      <c r="R380" s="46">
        <f t="shared" si="345"/>
        <v>0</v>
      </c>
      <c r="S380" s="28">
        <f t="shared" si="346"/>
        <v>0</v>
      </c>
      <c r="T380" s="28">
        <f t="shared" si="347"/>
        <v>0</v>
      </c>
      <c r="U380" s="28">
        <f t="shared" si="348"/>
        <v>0</v>
      </c>
      <c r="V380" s="45">
        <f t="shared" si="343"/>
        <v>0</v>
      </c>
      <c r="W380" s="67"/>
      <c r="X380" s="68"/>
      <c r="Y380" s="68"/>
      <c r="Z380" s="68"/>
      <c r="AA380" s="415"/>
      <c r="AB380" s="79"/>
      <c r="AC380" s="79"/>
      <c r="AD380" s="79"/>
      <c r="AE380" s="79"/>
      <c r="AF380" s="79"/>
    </row>
    <row r="381" spans="1:32" s="69" customFormat="1" ht="20.25" customHeight="1">
      <c r="A381" s="393"/>
      <c r="B381" s="50" t="s">
        <v>247</v>
      </c>
      <c r="C381" s="65">
        <v>0</v>
      </c>
      <c r="D381" s="65">
        <v>0</v>
      </c>
      <c r="E381" s="83">
        <v>0</v>
      </c>
      <c r="F381" s="65">
        <v>0</v>
      </c>
      <c r="G381" s="63">
        <f t="shared" si="349"/>
        <v>0</v>
      </c>
      <c r="H381" s="64"/>
      <c r="I381" s="68"/>
      <c r="J381" s="68"/>
      <c r="K381" s="68"/>
      <c r="L381" s="65">
        <v>0</v>
      </c>
      <c r="M381" s="65">
        <v>0</v>
      </c>
      <c r="N381" s="65">
        <v>0</v>
      </c>
      <c r="O381" s="65">
        <v>0</v>
      </c>
      <c r="P381" s="66">
        <f t="shared" si="350"/>
        <v>0</v>
      </c>
      <c r="Q381" s="406"/>
      <c r="R381" s="46">
        <f t="shared" si="345"/>
        <v>0</v>
      </c>
      <c r="S381" s="28">
        <f t="shared" si="346"/>
        <v>0</v>
      </c>
      <c r="T381" s="28">
        <f t="shared" si="347"/>
        <v>0</v>
      </c>
      <c r="U381" s="28">
        <f t="shared" si="348"/>
        <v>0</v>
      </c>
      <c r="V381" s="45">
        <f t="shared" si="343"/>
        <v>0</v>
      </c>
      <c r="W381" s="67"/>
      <c r="X381" s="68"/>
      <c r="Y381" s="68"/>
      <c r="Z381" s="68"/>
      <c r="AA381" s="415"/>
      <c r="AB381" s="79"/>
      <c r="AC381" s="79"/>
      <c r="AD381" s="79"/>
      <c r="AE381" s="79"/>
      <c r="AF381" s="79"/>
    </row>
    <row r="382" spans="1:32" s="69" customFormat="1" ht="20.25" customHeight="1">
      <c r="A382" s="393"/>
      <c r="B382" s="50" t="s">
        <v>248</v>
      </c>
      <c r="C382" s="65">
        <v>0</v>
      </c>
      <c r="D382" s="65">
        <v>0</v>
      </c>
      <c r="E382" s="83">
        <v>0</v>
      </c>
      <c r="F382" s="65">
        <v>0</v>
      </c>
      <c r="G382" s="63">
        <f t="shared" si="349"/>
        <v>0</v>
      </c>
      <c r="H382" s="64"/>
      <c r="I382" s="68"/>
      <c r="J382" s="68"/>
      <c r="K382" s="68"/>
      <c r="L382" s="65">
        <v>0</v>
      </c>
      <c r="M382" s="65">
        <v>0</v>
      </c>
      <c r="N382" s="65">
        <v>0</v>
      </c>
      <c r="O382" s="65">
        <v>0</v>
      </c>
      <c r="P382" s="66">
        <f t="shared" si="350"/>
        <v>0</v>
      </c>
      <c r="Q382" s="406"/>
      <c r="R382" s="46">
        <f t="shared" si="345"/>
        <v>0</v>
      </c>
      <c r="S382" s="28">
        <f t="shared" si="346"/>
        <v>0</v>
      </c>
      <c r="T382" s="28">
        <f t="shared" si="347"/>
        <v>0</v>
      </c>
      <c r="U382" s="28">
        <f t="shared" si="348"/>
        <v>0</v>
      </c>
      <c r="V382" s="45">
        <f t="shared" si="343"/>
        <v>0</v>
      </c>
      <c r="W382" s="67"/>
      <c r="X382" s="68"/>
      <c r="Y382" s="68"/>
      <c r="Z382" s="68"/>
      <c r="AA382" s="415"/>
      <c r="AB382" s="79"/>
      <c r="AC382" s="79"/>
      <c r="AD382" s="79"/>
      <c r="AE382" s="79"/>
      <c r="AF382" s="79"/>
    </row>
    <row r="383" spans="1:32" s="69" customFormat="1" ht="20.25" customHeight="1">
      <c r="A383" s="393"/>
      <c r="B383" s="50" t="s">
        <v>249</v>
      </c>
      <c r="C383" s="65">
        <v>0</v>
      </c>
      <c r="D383" s="65">
        <v>0</v>
      </c>
      <c r="E383" s="83">
        <v>0</v>
      </c>
      <c r="F383" s="65">
        <v>0</v>
      </c>
      <c r="G383" s="63">
        <f t="shared" si="349"/>
        <v>0</v>
      </c>
      <c r="H383" s="64"/>
      <c r="I383" s="68"/>
      <c r="J383" s="68"/>
      <c r="K383" s="68"/>
      <c r="L383" s="65">
        <v>0</v>
      </c>
      <c r="M383" s="65">
        <v>0</v>
      </c>
      <c r="N383" s="65">
        <v>0</v>
      </c>
      <c r="O383" s="65">
        <v>0</v>
      </c>
      <c r="P383" s="66">
        <f t="shared" si="350"/>
        <v>0</v>
      </c>
      <c r="Q383" s="406"/>
      <c r="R383" s="46">
        <f t="shared" si="345"/>
        <v>0</v>
      </c>
      <c r="S383" s="28">
        <f t="shared" si="346"/>
        <v>0</v>
      </c>
      <c r="T383" s="28">
        <f t="shared" si="347"/>
        <v>0</v>
      </c>
      <c r="U383" s="28">
        <f t="shared" si="348"/>
        <v>0</v>
      </c>
      <c r="V383" s="45">
        <f t="shared" si="343"/>
        <v>0</v>
      </c>
      <c r="W383" s="67"/>
      <c r="X383" s="68"/>
      <c r="Y383" s="68"/>
      <c r="Z383" s="68"/>
      <c r="AA383" s="415"/>
      <c r="AB383" s="79"/>
      <c r="AC383" s="79"/>
      <c r="AD383" s="79"/>
      <c r="AE383" s="79"/>
      <c r="AF383" s="79"/>
    </row>
    <row r="384" spans="1:32" s="69" customFormat="1" ht="20.25" customHeight="1">
      <c r="A384" s="393"/>
      <c r="B384" s="50" t="s">
        <v>250</v>
      </c>
      <c r="C384" s="65">
        <v>0</v>
      </c>
      <c r="D384" s="65">
        <v>0</v>
      </c>
      <c r="E384" s="83">
        <v>0</v>
      </c>
      <c r="F384" s="65">
        <v>0</v>
      </c>
      <c r="G384" s="63">
        <f t="shared" si="349"/>
        <v>0</v>
      </c>
      <c r="H384" s="64"/>
      <c r="I384" s="68"/>
      <c r="J384" s="68"/>
      <c r="K384" s="68"/>
      <c r="L384" s="65">
        <v>0</v>
      </c>
      <c r="M384" s="65">
        <v>0</v>
      </c>
      <c r="N384" s="65">
        <v>0</v>
      </c>
      <c r="O384" s="65">
        <v>0</v>
      </c>
      <c r="P384" s="66">
        <f t="shared" si="350"/>
        <v>0</v>
      </c>
      <c r="Q384" s="406"/>
      <c r="R384" s="46">
        <f t="shared" si="345"/>
        <v>0</v>
      </c>
      <c r="S384" s="28">
        <f t="shared" si="346"/>
        <v>0</v>
      </c>
      <c r="T384" s="28">
        <f t="shared" si="347"/>
        <v>0</v>
      </c>
      <c r="U384" s="28">
        <f t="shared" si="348"/>
        <v>0</v>
      </c>
      <c r="V384" s="45">
        <f t="shared" si="343"/>
        <v>0</v>
      </c>
      <c r="W384" s="67"/>
      <c r="X384" s="68"/>
      <c r="Y384" s="68"/>
      <c r="Z384" s="68"/>
      <c r="AA384" s="415"/>
      <c r="AB384" s="79"/>
      <c r="AC384" s="79"/>
      <c r="AD384" s="79"/>
      <c r="AE384" s="79"/>
      <c r="AF384" s="79"/>
    </row>
    <row r="385" spans="1:32" s="69" customFormat="1" ht="20.25" customHeight="1">
      <c r="A385" s="393"/>
      <c r="B385" s="50" t="s">
        <v>251</v>
      </c>
      <c r="C385" s="65">
        <v>0</v>
      </c>
      <c r="D385" s="65">
        <v>0</v>
      </c>
      <c r="E385" s="83">
        <v>0</v>
      </c>
      <c r="F385" s="65">
        <v>0</v>
      </c>
      <c r="G385" s="63">
        <f t="shared" si="349"/>
        <v>0</v>
      </c>
      <c r="H385" s="64"/>
      <c r="I385" s="68"/>
      <c r="J385" s="68"/>
      <c r="K385" s="68"/>
      <c r="L385" s="65">
        <v>0</v>
      </c>
      <c r="M385" s="65">
        <v>0</v>
      </c>
      <c r="N385" s="65">
        <v>0</v>
      </c>
      <c r="O385" s="65">
        <v>0</v>
      </c>
      <c r="P385" s="66">
        <f t="shared" si="350"/>
        <v>0</v>
      </c>
      <c r="Q385" s="406"/>
      <c r="R385" s="46">
        <f t="shared" si="345"/>
        <v>0</v>
      </c>
      <c r="S385" s="28">
        <f t="shared" si="346"/>
        <v>0</v>
      </c>
      <c r="T385" s="28">
        <f t="shared" si="347"/>
        <v>0</v>
      </c>
      <c r="U385" s="28">
        <f t="shared" si="348"/>
        <v>0</v>
      </c>
      <c r="V385" s="45">
        <f t="shared" si="343"/>
        <v>0</v>
      </c>
      <c r="W385" s="67"/>
      <c r="X385" s="68"/>
      <c r="Y385" s="68"/>
      <c r="Z385" s="68"/>
      <c r="AA385" s="415"/>
      <c r="AB385" s="79"/>
      <c r="AC385" s="79"/>
      <c r="AD385" s="79"/>
      <c r="AE385" s="79"/>
      <c r="AF385" s="79"/>
    </row>
    <row r="386" spans="1:32" s="69" customFormat="1" ht="20.25" customHeight="1">
      <c r="A386" s="393"/>
      <c r="B386" s="50" t="s">
        <v>252</v>
      </c>
      <c r="C386" s="65">
        <v>0</v>
      </c>
      <c r="D386" s="65">
        <v>0</v>
      </c>
      <c r="E386" s="83">
        <v>0</v>
      </c>
      <c r="F386" s="65">
        <v>0</v>
      </c>
      <c r="G386" s="63">
        <f t="shared" si="349"/>
        <v>0</v>
      </c>
      <c r="H386" s="64"/>
      <c r="I386" s="68"/>
      <c r="J386" s="68"/>
      <c r="K386" s="68"/>
      <c r="L386" s="65">
        <v>0</v>
      </c>
      <c r="M386" s="65">
        <v>0</v>
      </c>
      <c r="N386" s="65">
        <v>0</v>
      </c>
      <c r="O386" s="65">
        <v>0</v>
      </c>
      <c r="P386" s="66">
        <f t="shared" si="350"/>
        <v>0</v>
      </c>
      <c r="Q386" s="406"/>
      <c r="R386" s="46">
        <f t="shared" si="345"/>
        <v>0</v>
      </c>
      <c r="S386" s="28">
        <f t="shared" si="346"/>
        <v>0</v>
      </c>
      <c r="T386" s="28">
        <f t="shared" si="347"/>
        <v>0</v>
      </c>
      <c r="U386" s="28">
        <f t="shared" si="348"/>
        <v>0</v>
      </c>
      <c r="V386" s="45">
        <f t="shared" si="343"/>
        <v>0</v>
      </c>
      <c r="W386" s="67"/>
      <c r="X386" s="68"/>
      <c r="Y386" s="68"/>
      <c r="Z386" s="68"/>
      <c r="AA386" s="415"/>
      <c r="AB386" s="79"/>
      <c r="AC386" s="79"/>
      <c r="AD386" s="79"/>
      <c r="AE386" s="79"/>
      <c r="AF386" s="79"/>
    </row>
    <row r="387" spans="1:32" s="69" customFormat="1" ht="20.25" customHeight="1">
      <c r="A387" s="393"/>
      <c r="B387" s="50" t="s">
        <v>253</v>
      </c>
      <c r="C387" s="65">
        <v>0</v>
      </c>
      <c r="D387" s="65">
        <v>0</v>
      </c>
      <c r="E387" s="83">
        <v>0</v>
      </c>
      <c r="F387" s="65">
        <v>0</v>
      </c>
      <c r="G387" s="63">
        <f t="shared" si="349"/>
        <v>0</v>
      </c>
      <c r="H387" s="64"/>
      <c r="I387" s="68"/>
      <c r="J387" s="68"/>
      <c r="K387" s="68"/>
      <c r="L387" s="65">
        <v>0</v>
      </c>
      <c r="M387" s="65">
        <v>0</v>
      </c>
      <c r="N387" s="65">
        <v>0</v>
      </c>
      <c r="O387" s="65">
        <v>0</v>
      </c>
      <c r="P387" s="66">
        <f t="shared" si="350"/>
        <v>0</v>
      </c>
      <c r="Q387" s="406"/>
      <c r="R387" s="46">
        <f t="shared" si="345"/>
        <v>0</v>
      </c>
      <c r="S387" s="28">
        <f t="shared" si="346"/>
        <v>0</v>
      </c>
      <c r="T387" s="28">
        <f t="shared" si="347"/>
        <v>0</v>
      </c>
      <c r="U387" s="28">
        <f t="shared" si="348"/>
        <v>0</v>
      </c>
      <c r="V387" s="45">
        <f t="shared" si="343"/>
        <v>0</v>
      </c>
      <c r="W387" s="67"/>
      <c r="X387" s="68"/>
      <c r="Y387" s="68"/>
      <c r="Z387" s="68"/>
      <c r="AA387" s="415"/>
      <c r="AB387" s="79"/>
      <c r="AC387" s="79"/>
      <c r="AD387" s="79"/>
      <c r="AE387" s="79"/>
      <c r="AF387" s="79"/>
    </row>
    <row r="388" spans="1:32" s="69" customFormat="1" ht="20.25" customHeight="1">
      <c r="A388" s="393"/>
      <c r="B388" s="50" t="s">
        <v>254</v>
      </c>
      <c r="C388" s="65">
        <v>0</v>
      </c>
      <c r="D388" s="65">
        <v>0</v>
      </c>
      <c r="E388" s="83">
        <v>0</v>
      </c>
      <c r="F388" s="65">
        <v>0</v>
      </c>
      <c r="G388" s="63">
        <f t="shared" si="349"/>
        <v>0</v>
      </c>
      <c r="H388" s="64"/>
      <c r="I388" s="68"/>
      <c r="J388" s="68"/>
      <c r="K388" s="68"/>
      <c r="L388" s="65">
        <v>0</v>
      </c>
      <c r="M388" s="65">
        <v>0</v>
      </c>
      <c r="N388" s="65">
        <v>0</v>
      </c>
      <c r="O388" s="65">
        <v>0</v>
      </c>
      <c r="P388" s="66">
        <f t="shared" si="350"/>
        <v>0</v>
      </c>
      <c r="Q388" s="406"/>
      <c r="R388" s="46">
        <f t="shared" si="345"/>
        <v>0</v>
      </c>
      <c r="S388" s="28">
        <f t="shared" si="346"/>
        <v>0</v>
      </c>
      <c r="T388" s="28">
        <f t="shared" si="347"/>
        <v>0</v>
      </c>
      <c r="U388" s="28">
        <f t="shared" si="348"/>
        <v>0</v>
      </c>
      <c r="V388" s="45">
        <f t="shared" si="343"/>
        <v>0</v>
      </c>
      <c r="W388" s="67"/>
      <c r="X388" s="68"/>
      <c r="Y388" s="68"/>
      <c r="Z388" s="68"/>
      <c r="AA388" s="415"/>
      <c r="AB388" s="79"/>
      <c r="AC388" s="79"/>
      <c r="AD388" s="79"/>
      <c r="AE388" s="79"/>
      <c r="AF388" s="79"/>
    </row>
    <row r="389" spans="1:32" s="69" customFormat="1" ht="20.25" customHeight="1">
      <c r="A389" s="393"/>
      <c r="B389" s="42" t="s">
        <v>216</v>
      </c>
      <c r="C389" s="65">
        <v>0</v>
      </c>
      <c r="D389" s="65">
        <v>0</v>
      </c>
      <c r="E389" s="83">
        <v>0</v>
      </c>
      <c r="F389" s="65">
        <v>0</v>
      </c>
      <c r="G389" s="63">
        <f t="shared" si="349"/>
        <v>0</v>
      </c>
      <c r="H389" s="64"/>
      <c r="I389" s="68"/>
      <c r="J389" s="68"/>
      <c r="K389" s="68"/>
      <c r="L389" s="65">
        <v>0</v>
      </c>
      <c r="M389" s="65">
        <v>0</v>
      </c>
      <c r="N389" s="65">
        <v>0</v>
      </c>
      <c r="O389" s="65">
        <v>0</v>
      </c>
      <c r="P389" s="66">
        <f t="shared" si="350"/>
        <v>0</v>
      </c>
      <c r="Q389" s="406"/>
      <c r="R389" s="46">
        <f t="shared" si="345"/>
        <v>0</v>
      </c>
      <c r="S389" s="28">
        <f t="shared" si="346"/>
        <v>0</v>
      </c>
      <c r="T389" s="28">
        <f t="shared" si="347"/>
        <v>0</v>
      </c>
      <c r="U389" s="28">
        <f t="shared" si="348"/>
        <v>0</v>
      </c>
      <c r="V389" s="45">
        <f t="shared" si="343"/>
        <v>0</v>
      </c>
      <c r="W389" s="67"/>
      <c r="X389" s="68"/>
      <c r="Y389" s="68"/>
      <c r="Z389" s="68"/>
      <c r="AA389" s="415"/>
      <c r="AB389" s="79"/>
      <c r="AC389" s="79"/>
      <c r="AD389" s="79"/>
      <c r="AE389" s="79"/>
      <c r="AF389" s="79"/>
    </row>
    <row r="390" spans="1:32" s="69" customFormat="1" ht="20.25" customHeight="1">
      <c r="A390" s="393"/>
      <c r="B390" s="42"/>
      <c r="C390" s="65">
        <f>SUM(C370:C389)</f>
        <v>19685318.789999999</v>
      </c>
      <c r="D390" s="65">
        <f t="shared" ref="D390:G390" si="351">SUM(D370:D389)</f>
        <v>6951698.3099999996</v>
      </c>
      <c r="E390" s="65">
        <f t="shared" si="351"/>
        <v>0</v>
      </c>
      <c r="F390" s="65">
        <f t="shared" si="351"/>
        <v>36145341.420000002</v>
      </c>
      <c r="G390" s="65">
        <f t="shared" si="351"/>
        <v>62782358.520000003</v>
      </c>
      <c r="H390" s="63"/>
      <c r="I390" s="63"/>
      <c r="J390" s="63"/>
      <c r="K390" s="63"/>
      <c r="L390" s="63">
        <f>SUM(L370:L389)</f>
        <v>0</v>
      </c>
      <c r="M390" s="63">
        <f>SUM(M370:M389)</f>
        <v>0</v>
      </c>
      <c r="N390" s="63">
        <f>SUM(N370:N389)</f>
        <v>0</v>
      </c>
      <c r="O390" s="63">
        <f>SUM(O370:O389)</f>
        <v>0</v>
      </c>
      <c r="P390" s="63">
        <f>SUM(P370:P389)</f>
        <v>0</v>
      </c>
      <c r="Q390" s="410"/>
      <c r="R390" s="46">
        <f t="shared" si="345"/>
        <v>19685318.789999999</v>
      </c>
      <c r="S390" s="28">
        <f t="shared" si="346"/>
        <v>6951698.3099999996</v>
      </c>
      <c r="T390" s="28">
        <f t="shared" si="347"/>
        <v>0</v>
      </c>
      <c r="U390" s="28">
        <f t="shared" si="348"/>
        <v>36145341.420000002</v>
      </c>
      <c r="V390" s="45">
        <f t="shared" si="343"/>
        <v>62782358.519999996</v>
      </c>
      <c r="W390" s="67"/>
      <c r="X390" s="68"/>
      <c r="Y390" s="68"/>
      <c r="Z390" s="68"/>
      <c r="AA390" s="415"/>
      <c r="AB390" s="79"/>
      <c r="AC390" s="79"/>
      <c r="AD390" s="79"/>
      <c r="AE390" s="79"/>
      <c r="AF390" s="79"/>
    </row>
    <row r="391" spans="1:32" s="69" customFormat="1" ht="20.25" customHeight="1">
      <c r="A391" s="393"/>
      <c r="B391" s="640" t="s">
        <v>259</v>
      </c>
      <c r="C391" s="640"/>
      <c r="D391" s="640"/>
      <c r="E391" s="640"/>
      <c r="F391" s="640"/>
      <c r="G391" s="640"/>
      <c r="H391" s="81"/>
      <c r="L391" s="82"/>
      <c r="M391" s="82"/>
      <c r="N391" s="82"/>
      <c r="O391" s="82"/>
      <c r="P391" s="80"/>
      <c r="Q391" s="407"/>
      <c r="R391" s="27">
        <f>50504820.54-30819501.75</f>
        <v>19685318.789999999</v>
      </c>
      <c r="S391" s="27">
        <f>12277537.98-5325839.67</f>
        <v>6951698.3100000005</v>
      </c>
      <c r="T391" s="27">
        <v>0</v>
      </c>
      <c r="U391" s="27">
        <f>30819501.75+5325839.67</f>
        <v>36145341.420000002</v>
      </c>
      <c r="V391" s="29">
        <f>+R391+S391+T391+U391</f>
        <v>62782358.520000003</v>
      </c>
      <c r="AA391" s="79"/>
      <c r="AB391" s="79"/>
      <c r="AC391" s="79"/>
      <c r="AD391" s="79"/>
      <c r="AE391" s="79"/>
      <c r="AF391" s="79"/>
    </row>
    <row r="392" spans="1:32" s="69" customFormat="1" ht="20.25" customHeight="1">
      <c r="A392" s="393"/>
      <c r="B392" s="70" t="s">
        <v>9</v>
      </c>
      <c r="C392" s="83" t="s">
        <v>206</v>
      </c>
      <c r="D392" s="83" t="s">
        <v>207</v>
      </c>
      <c r="E392" s="83" t="s">
        <v>10</v>
      </c>
      <c r="F392" s="83" t="s">
        <v>11</v>
      </c>
      <c r="G392" s="84" t="s">
        <v>208</v>
      </c>
      <c r="H392" s="64"/>
      <c r="I392" s="68"/>
      <c r="J392" s="68"/>
      <c r="K392" s="68"/>
      <c r="L392" s="65"/>
      <c r="M392" s="65"/>
      <c r="N392" s="65"/>
      <c r="O392" s="65"/>
      <c r="P392" s="66"/>
      <c r="Q392" s="406"/>
      <c r="R392" s="46"/>
      <c r="S392" s="28"/>
      <c r="T392" s="28"/>
      <c r="U392" s="28"/>
      <c r="V392" s="45"/>
      <c r="W392" s="67"/>
      <c r="X392" s="68"/>
      <c r="Y392" s="68"/>
      <c r="Z392" s="68"/>
      <c r="AA392" s="415"/>
      <c r="AB392" s="79"/>
      <c r="AC392" s="79"/>
      <c r="AD392" s="79"/>
      <c r="AE392" s="79"/>
      <c r="AF392" s="79"/>
    </row>
    <row r="393" spans="1:32" s="69" customFormat="1" ht="20.25" customHeight="1">
      <c r="A393" s="393"/>
      <c r="B393" s="42" t="s">
        <v>237</v>
      </c>
      <c r="C393" s="62">
        <v>0</v>
      </c>
      <c r="D393" s="62">
        <v>0</v>
      </c>
      <c r="E393" s="376">
        <v>0</v>
      </c>
      <c r="F393" s="62">
        <v>0</v>
      </c>
      <c r="G393" s="63">
        <f>SUM(C393:F393)</f>
        <v>0</v>
      </c>
      <c r="H393" s="64"/>
      <c r="I393" s="68"/>
      <c r="J393" s="68"/>
      <c r="K393" s="68"/>
      <c r="L393" s="65">
        <v>0</v>
      </c>
      <c r="M393" s="65">
        <v>0</v>
      </c>
      <c r="N393" s="65">
        <v>0</v>
      </c>
      <c r="O393" s="65">
        <v>0</v>
      </c>
      <c r="P393" s="66">
        <f>SUM(L393:O393)</f>
        <v>0</v>
      </c>
      <c r="Q393" s="406"/>
      <c r="R393" s="46">
        <f t="shared" ref="R393:R413" si="352">+C393+L393</f>
        <v>0</v>
      </c>
      <c r="S393" s="28">
        <f t="shared" ref="S393:S413" si="353">+D393+M393</f>
        <v>0</v>
      </c>
      <c r="T393" s="28">
        <f t="shared" ref="T393:T413" si="354">+E393+N393</f>
        <v>0</v>
      </c>
      <c r="U393" s="28">
        <f t="shared" ref="U393:U413" si="355">+F393+O393</f>
        <v>0</v>
      </c>
      <c r="V393" s="45">
        <f t="shared" si="343"/>
        <v>0</v>
      </c>
      <c r="W393" s="67"/>
      <c r="X393" s="68"/>
      <c r="Y393" s="68"/>
      <c r="Z393" s="68"/>
      <c r="AA393" s="415"/>
      <c r="AB393" s="79"/>
      <c r="AC393" s="79"/>
      <c r="AD393" s="79"/>
      <c r="AE393" s="79"/>
      <c r="AF393" s="79"/>
    </row>
    <row r="394" spans="1:32" s="69" customFormat="1" ht="20.25" customHeight="1">
      <c r="A394" s="393"/>
      <c r="B394" s="42" t="s">
        <v>238</v>
      </c>
      <c r="C394" s="62">
        <v>5669810.3300000001</v>
      </c>
      <c r="D394" s="62">
        <f>391979.37+13659</f>
        <v>405638.37</v>
      </c>
      <c r="E394" s="376">
        <v>0</v>
      </c>
      <c r="F394" s="62">
        <v>133173.16</v>
      </c>
      <c r="G394" s="63">
        <f t="shared" ref="G394:G412" si="356">SUM(C394:F394)</f>
        <v>6208621.8600000003</v>
      </c>
      <c r="H394" s="64"/>
      <c r="I394" s="68"/>
      <c r="J394" s="68"/>
      <c r="K394" s="68"/>
      <c r="L394" s="65">
        <v>0</v>
      </c>
      <c r="M394" s="65">
        <v>0</v>
      </c>
      <c r="N394" s="65">
        <v>0</v>
      </c>
      <c r="O394" s="65">
        <v>0</v>
      </c>
      <c r="P394" s="66">
        <f t="shared" ref="P394:P412" si="357">SUM(L394:O394)</f>
        <v>0</v>
      </c>
      <c r="Q394" s="406"/>
      <c r="R394" s="46">
        <f t="shared" si="352"/>
        <v>5669810.3300000001</v>
      </c>
      <c r="S394" s="28">
        <f t="shared" si="353"/>
        <v>405638.37</v>
      </c>
      <c r="T394" s="28">
        <f t="shared" si="354"/>
        <v>0</v>
      </c>
      <c r="U394" s="28">
        <f t="shared" si="355"/>
        <v>133173.16</v>
      </c>
      <c r="V394" s="45">
        <f t="shared" si="343"/>
        <v>6208621.8600000003</v>
      </c>
      <c r="W394" s="67"/>
      <c r="X394" s="68"/>
      <c r="Y394" s="68"/>
      <c r="Z394" s="68"/>
      <c r="AA394" s="415"/>
      <c r="AB394" s="79"/>
      <c r="AC394" s="79"/>
      <c r="AD394" s="79"/>
      <c r="AE394" s="79"/>
      <c r="AF394" s="79"/>
    </row>
    <row r="395" spans="1:32" s="69" customFormat="1" ht="20.25" customHeight="1">
      <c r="A395" s="393"/>
      <c r="B395" s="70" t="s">
        <v>239</v>
      </c>
      <c r="C395" s="62">
        <v>0</v>
      </c>
      <c r="D395" s="376">
        <v>0</v>
      </c>
      <c r="E395" s="376">
        <v>0</v>
      </c>
      <c r="F395" s="376">
        <v>0</v>
      </c>
      <c r="G395" s="63">
        <f t="shared" si="356"/>
        <v>0</v>
      </c>
      <c r="H395" s="64"/>
      <c r="I395" s="68"/>
      <c r="J395" s="68"/>
      <c r="K395" s="68"/>
      <c r="L395" s="65">
        <v>0</v>
      </c>
      <c r="M395" s="65">
        <v>0</v>
      </c>
      <c r="N395" s="65">
        <v>0</v>
      </c>
      <c r="O395" s="65">
        <v>0</v>
      </c>
      <c r="P395" s="66">
        <f t="shared" si="357"/>
        <v>0</v>
      </c>
      <c r="Q395" s="406"/>
      <c r="R395" s="46">
        <f t="shared" si="352"/>
        <v>0</v>
      </c>
      <c r="S395" s="28">
        <f t="shared" si="353"/>
        <v>0</v>
      </c>
      <c r="T395" s="28">
        <f t="shared" si="354"/>
        <v>0</v>
      </c>
      <c r="U395" s="28">
        <f t="shared" si="355"/>
        <v>0</v>
      </c>
      <c r="V395" s="45">
        <f t="shared" si="343"/>
        <v>0</v>
      </c>
      <c r="W395" s="67"/>
      <c r="X395" s="68"/>
      <c r="Y395" s="68"/>
      <c r="Z395" s="68"/>
      <c r="AA395" s="415"/>
      <c r="AB395" s="79"/>
      <c r="AC395" s="79"/>
      <c r="AD395" s="79"/>
      <c r="AE395" s="79"/>
      <c r="AF395" s="79"/>
    </row>
    <row r="396" spans="1:32" s="69" customFormat="1" ht="20.25" customHeight="1">
      <c r="A396" s="393"/>
      <c r="B396" s="70" t="s">
        <v>240</v>
      </c>
      <c r="C396" s="62">
        <v>0</v>
      </c>
      <c r="D396" s="62">
        <v>0</v>
      </c>
      <c r="E396" s="376">
        <v>0</v>
      </c>
      <c r="F396" s="62">
        <v>0</v>
      </c>
      <c r="G396" s="63">
        <f t="shared" si="356"/>
        <v>0</v>
      </c>
      <c r="H396" s="64"/>
      <c r="I396" s="68"/>
      <c r="J396" s="68"/>
      <c r="K396" s="68"/>
      <c r="L396" s="65">
        <v>0</v>
      </c>
      <c r="M396" s="65">
        <v>0</v>
      </c>
      <c r="N396" s="65">
        <v>0</v>
      </c>
      <c r="O396" s="65">
        <v>0</v>
      </c>
      <c r="P396" s="66">
        <f t="shared" si="357"/>
        <v>0</v>
      </c>
      <c r="Q396" s="406"/>
      <c r="R396" s="46">
        <f t="shared" si="352"/>
        <v>0</v>
      </c>
      <c r="S396" s="28">
        <f t="shared" si="353"/>
        <v>0</v>
      </c>
      <c r="T396" s="28">
        <f t="shared" si="354"/>
        <v>0</v>
      </c>
      <c r="U396" s="28">
        <f t="shared" si="355"/>
        <v>0</v>
      </c>
      <c r="V396" s="45">
        <f t="shared" si="343"/>
        <v>0</v>
      </c>
      <c r="W396" s="67"/>
      <c r="X396" s="68"/>
      <c r="Y396" s="68"/>
      <c r="Z396" s="68"/>
      <c r="AA396" s="415"/>
      <c r="AB396" s="79"/>
      <c r="AC396" s="79"/>
      <c r="AD396" s="79"/>
      <c r="AE396" s="79"/>
      <c r="AF396" s="79"/>
    </row>
    <row r="397" spans="1:32" s="69" customFormat="1" ht="20.25" customHeight="1">
      <c r="A397" s="393"/>
      <c r="B397" s="42" t="s">
        <v>241</v>
      </c>
      <c r="C397" s="62">
        <v>0</v>
      </c>
      <c r="D397" s="62">
        <v>0</v>
      </c>
      <c r="E397" s="376">
        <v>0</v>
      </c>
      <c r="F397" s="62">
        <v>0</v>
      </c>
      <c r="G397" s="63">
        <f t="shared" si="356"/>
        <v>0</v>
      </c>
      <c r="H397" s="64"/>
      <c r="I397" s="68"/>
      <c r="J397" s="68"/>
      <c r="K397" s="68"/>
      <c r="L397" s="65">
        <v>0</v>
      </c>
      <c r="M397" s="65">
        <v>0</v>
      </c>
      <c r="N397" s="65">
        <v>0</v>
      </c>
      <c r="O397" s="65">
        <v>0</v>
      </c>
      <c r="P397" s="66">
        <f t="shared" si="357"/>
        <v>0</v>
      </c>
      <c r="Q397" s="406"/>
      <c r="R397" s="46">
        <f t="shared" si="352"/>
        <v>0</v>
      </c>
      <c r="S397" s="28">
        <f t="shared" si="353"/>
        <v>0</v>
      </c>
      <c r="T397" s="28">
        <f t="shared" si="354"/>
        <v>0</v>
      </c>
      <c r="U397" s="28">
        <f t="shared" si="355"/>
        <v>0</v>
      </c>
      <c r="V397" s="45">
        <f t="shared" si="343"/>
        <v>0</v>
      </c>
      <c r="W397" s="67"/>
      <c r="X397" s="68"/>
      <c r="Y397" s="68"/>
      <c r="Z397" s="68"/>
      <c r="AA397" s="415"/>
      <c r="AB397" s="79"/>
      <c r="AC397" s="79"/>
      <c r="AD397" s="79"/>
      <c r="AE397" s="79"/>
      <c r="AF397" s="79"/>
    </row>
    <row r="398" spans="1:32" s="69" customFormat="1" ht="20.25" customHeight="1">
      <c r="A398" s="393"/>
      <c r="B398" s="42" t="s">
        <v>242</v>
      </c>
      <c r="C398" s="62">
        <v>0</v>
      </c>
      <c r="D398" s="62">
        <v>0</v>
      </c>
      <c r="E398" s="376">
        <v>0</v>
      </c>
      <c r="F398" s="62">
        <v>0</v>
      </c>
      <c r="G398" s="63">
        <f t="shared" si="356"/>
        <v>0</v>
      </c>
      <c r="H398" s="64"/>
      <c r="I398" s="68"/>
      <c r="J398" s="68"/>
      <c r="K398" s="68"/>
      <c r="L398" s="65">
        <v>0</v>
      </c>
      <c r="M398" s="65">
        <v>0</v>
      </c>
      <c r="N398" s="65">
        <v>0</v>
      </c>
      <c r="O398" s="65">
        <v>0</v>
      </c>
      <c r="P398" s="66">
        <f t="shared" si="357"/>
        <v>0</v>
      </c>
      <c r="Q398" s="406"/>
      <c r="R398" s="46">
        <f t="shared" si="352"/>
        <v>0</v>
      </c>
      <c r="S398" s="28">
        <f t="shared" si="353"/>
        <v>0</v>
      </c>
      <c r="T398" s="28">
        <f t="shared" si="354"/>
        <v>0</v>
      </c>
      <c r="U398" s="28">
        <f t="shared" si="355"/>
        <v>0</v>
      </c>
      <c r="V398" s="45">
        <f t="shared" si="343"/>
        <v>0</v>
      </c>
      <c r="W398" s="67"/>
      <c r="X398" s="68"/>
      <c r="Y398" s="68"/>
      <c r="Z398" s="68"/>
      <c r="AA398" s="415"/>
      <c r="AB398" s="79"/>
      <c r="AC398" s="79"/>
      <c r="AD398" s="79"/>
      <c r="AE398" s="79"/>
      <c r="AF398" s="79"/>
    </row>
    <row r="399" spans="1:32" s="69" customFormat="1" ht="20.25" customHeight="1">
      <c r="A399" s="393"/>
      <c r="B399" s="50" t="s">
        <v>438</v>
      </c>
      <c r="C399" s="65">
        <v>0</v>
      </c>
      <c r="D399" s="65">
        <v>0</v>
      </c>
      <c r="E399" s="83">
        <v>0</v>
      </c>
      <c r="F399" s="65">
        <v>0</v>
      </c>
      <c r="G399" s="63">
        <f t="shared" si="356"/>
        <v>0</v>
      </c>
      <c r="H399" s="64"/>
      <c r="I399" s="68"/>
      <c r="J399" s="68"/>
      <c r="K399" s="68"/>
      <c r="L399" s="65">
        <v>0</v>
      </c>
      <c r="M399" s="65">
        <v>0</v>
      </c>
      <c r="N399" s="65">
        <v>0</v>
      </c>
      <c r="O399" s="65">
        <v>0</v>
      </c>
      <c r="P399" s="66">
        <f t="shared" si="357"/>
        <v>0</v>
      </c>
      <c r="Q399" s="406"/>
      <c r="R399" s="46">
        <f t="shared" si="352"/>
        <v>0</v>
      </c>
      <c r="S399" s="28">
        <f t="shared" si="353"/>
        <v>0</v>
      </c>
      <c r="T399" s="28">
        <f t="shared" si="354"/>
        <v>0</v>
      </c>
      <c r="U399" s="28">
        <f t="shared" si="355"/>
        <v>0</v>
      </c>
      <c r="V399" s="45">
        <f t="shared" si="343"/>
        <v>0</v>
      </c>
      <c r="W399" s="67"/>
      <c r="X399" s="68"/>
      <c r="Y399" s="68"/>
      <c r="Z399" s="68"/>
      <c r="AA399" s="415"/>
      <c r="AB399" s="79"/>
      <c r="AC399" s="79"/>
      <c r="AD399" s="79"/>
      <c r="AE399" s="79"/>
      <c r="AF399" s="79"/>
    </row>
    <row r="400" spans="1:32" s="69" customFormat="1" ht="20.25" customHeight="1">
      <c r="A400" s="393"/>
      <c r="B400" s="50" t="s">
        <v>243</v>
      </c>
      <c r="C400" s="65">
        <v>0</v>
      </c>
      <c r="D400" s="65">
        <v>0</v>
      </c>
      <c r="E400" s="83">
        <v>0</v>
      </c>
      <c r="F400" s="65">
        <v>0</v>
      </c>
      <c r="G400" s="63">
        <f t="shared" si="356"/>
        <v>0</v>
      </c>
      <c r="H400" s="64"/>
      <c r="I400" s="68"/>
      <c r="J400" s="68"/>
      <c r="K400" s="68"/>
      <c r="L400" s="65">
        <v>0</v>
      </c>
      <c r="M400" s="65">
        <v>0</v>
      </c>
      <c r="N400" s="65">
        <v>0</v>
      </c>
      <c r="O400" s="65">
        <v>0</v>
      </c>
      <c r="P400" s="66">
        <f t="shared" si="357"/>
        <v>0</v>
      </c>
      <c r="Q400" s="406"/>
      <c r="R400" s="46">
        <f t="shared" si="352"/>
        <v>0</v>
      </c>
      <c r="S400" s="28">
        <f t="shared" si="353"/>
        <v>0</v>
      </c>
      <c r="T400" s="28">
        <f t="shared" si="354"/>
        <v>0</v>
      </c>
      <c r="U400" s="28">
        <f t="shared" si="355"/>
        <v>0</v>
      </c>
      <c r="V400" s="45">
        <f t="shared" si="343"/>
        <v>0</v>
      </c>
      <c r="W400" s="67"/>
      <c r="X400" s="68"/>
      <c r="Y400" s="68"/>
      <c r="Z400" s="68"/>
      <c r="AA400" s="415"/>
      <c r="AB400" s="79"/>
      <c r="AC400" s="79"/>
      <c r="AD400" s="79"/>
      <c r="AE400" s="79"/>
      <c r="AF400" s="79"/>
    </row>
    <row r="401" spans="1:32" s="69" customFormat="1" ht="20.25" customHeight="1">
      <c r="A401" s="393"/>
      <c r="B401" s="50" t="s">
        <v>244</v>
      </c>
      <c r="C401" s="65">
        <v>0</v>
      </c>
      <c r="D401" s="65">
        <v>0</v>
      </c>
      <c r="E401" s="83">
        <v>0</v>
      </c>
      <c r="F401" s="65">
        <v>0</v>
      </c>
      <c r="G401" s="63">
        <f t="shared" si="356"/>
        <v>0</v>
      </c>
      <c r="H401" s="64"/>
      <c r="I401" s="68"/>
      <c r="J401" s="68"/>
      <c r="K401" s="68"/>
      <c r="L401" s="65">
        <v>0</v>
      </c>
      <c r="M401" s="65">
        <v>0</v>
      </c>
      <c r="N401" s="65">
        <v>0</v>
      </c>
      <c r="O401" s="65">
        <v>0</v>
      </c>
      <c r="P401" s="66">
        <f t="shared" si="357"/>
        <v>0</v>
      </c>
      <c r="Q401" s="406"/>
      <c r="R401" s="46">
        <f t="shared" si="352"/>
        <v>0</v>
      </c>
      <c r="S401" s="28">
        <f t="shared" si="353"/>
        <v>0</v>
      </c>
      <c r="T401" s="28">
        <f t="shared" si="354"/>
        <v>0</v>
      </c>
      <c r="U401" s="28">
        <f t="shared" si="355"/>
        <v>0</v>
      </c>
      <c r="V401" s="45">
        <f t="shared" si="343"/>
        <v>0</v>
      </c>
      <c r="W401" s="67"/>
      <c r="X401" s="68"/>
      <c r="Y401" s="68"/>
      <c r="Z401" s="68"/>
      <c r="AA401" s="415"/>
      <c r="AB401" s="79"/>
      <c r="AC401" s="79"/>
      <c r="AD401" s="79"/>
      <c r="AE401" s="79"/>
      <c r="AF401" s="79"/>
    </row>
    <row r="402" spans="1:32" s="69" customFormat="1" ht="20.25" customHeight="1">
      <c r="A402" s="393"/>
      <c r="B402" s="50" t="s">
        <v>245</v>
      </c>
      <c r="C402" s="65">
        <v>0</v>
      </c>
      <c r="D402" s="65">
        <v>0</v>
      </c>
      <c r="E402" s="83">
        <v>0</v>
      </c>
      <c r="F402" s="65">
        <v>0</v>
      </c>
      <c r="G402" s="63">
        <f t="shared" si="356"/>
        <v>0</v>
      </c>
      <c r="H402" s="64"/>
      <c r="I402" s="68"/>
      <c r="J402" s="68"/>
      <c r="K402" s="68"/>
      <c r="L402" s="65">
        <v>0</v>
      </c>
      <c r="M402" s="65">
        <v>0</v>
      </c>
      <c r="N402" s="65">
        <v>0</v>
      </c>
      <c r="O402" s="65">
        <v>0</v>
      </c>
      <c r="P402" s="66">
        <f t="shared" si="357"/>
        <v>0</v>
      </c>
      <c r="Q402" s="406"/>
      <c r="R402" s="46">
        <f t="shared" si="352"/>
        <v>0</v>
      </c>
      <c r="S402" s="28">
        <f t="shared" si="353"/>
        <v>0</v>
      </c>
      <c r="T402" s="28">
        <f t="shared" si="354"/>
        <v>0</v>
      </c>
      <c r="U402" s="28">
        <f t="shared" si="355"/>
        <v>0</v>
      </c>
      <c r="V402" s="45">
        <f t="shared" si="343"/>
        <v>0</v>
      </c>
      <c r="W402" s="67"/>
      <c r="X402" s="68"/>
      <c r="Y402" s="68"/>
      <c r="Z402" s="68"/>
      <c r="AA402" s="415"/>
      <c r="AB402" s="79"/>
      <c r="AC402" s="79"/>
      <c r="AD402" s="79"/>
      <c r="AE402" s="79"/>
      <c r="AF402" s="79"/>
    </row>
    <row r="403" spans="1:32" s="69" customFormat="1" ht="20.25" customHeight="1">
      <c r="A403" s="393"/>
      <c r="B403" s="50" t="s">
        <v>246</v>
      </c>
      <c r="C403" s="65">
        <v>0</v>
      </c>
      <c r="D403" s="65">
        <v>0</v>
      </c>
      <c r="E403" s="83">
        <v>0</v>
      </c>
      <c r="F403" s="65">
        <v>0</v>
      </c>
      <c r="G403" s="63">
        <f t="shared" si="356"/>
        <v>0</v>
      </c>
      <c r="H403" s="64"/>
      <c r="I403" s="68"/>
      <c r="J403" s="68"/>
      <c r="K403" s="68"/>
      <c r="L403" s="65">
        <v>0</v>
      </c>
      <c r="M403" s="65">
        <v>0</v>
      </c>
      <c r="N403" s="65">
        <v>0</v>
      </c>
      <c r="O403" s="65">
        <v>0</v>
      </c>
      <c r="P403" s="66">
        <f t="shared" si="357"/>
        <v>0</v>
      </c>
      <c r="Q403" s="406"/>
      <c r="R403" s="46">
        <f t="shared" si="352"/>
        <v>0</v>
      </c>
      <c r="S403" s="28">
        <f t="shared" si="353"/>
        <v>0</v>
      </c>
      <c r="T403" s="28">
        <f t="shared" si="354"/>
        <v>0</v>
      </c>
      <c r="U403" s="28">
        <f t="shared" si="355"/>
        <v>0</v>
      </c>
      <c r="V403" s="45">
        <f t="shared" si="343"/>
        <v>0</v>
      </c>
      <c r="W403" s="67"/>
      <c r="X403" s="68"/>
      <c r="Y403" s="68"/>
      <c r="Z403" s="68"/>
      <c r="AA403" s="415"/>
      <c r="AB403" s="79"/>
      <c r="AC403" s="79"/>
      <c r="AD403" s="79"/>
      <c r="AE403" s="79"/>
      <c r="AF403" s="79"/>
    </row>
    <row r="404" spans="1:32" s="69" customFormat="1" ht="20.25" customHeight="1">
      <c r="A404" s="393"/>
      <c r="B404" s="50" t="s">
        <v>247</v>
      </c>
      <c r="C404" s="65">
        <v>0</v>
      </c>
      <c r="D404" s="65">
        <v>0</v>
      </c>
      <c r="E404" s="83">
        <v>0</v>
      </c>
      <c r="F404" s="65">
        <v>0</v>
      </c>
      <c r="G404" s="63">
        <f t="shared" si="356"/>
        <v>0</v>
      </c>
      <c r="H404" s="64"/>
      <c r="I404" s="68"/>
      <c r="J404" s="68"/>
      <c r="K404" s="68"/>
      <c r="L404" s="65">
        <v>0</v>
      </c>
      <c r="M404" s="65">
        <v>0</v>
      </c>
      <c r="N404" s="65">
        <v>0</v>
      </c>
      <c r="O404" s="65">
        <v>0</v>
      </c>
      <c r="P404" s="66">
        <f t="shared" si="357"/>
        <v>0</v>
      </c>
      <c r="Q404" s="406"/>
      <c r="R404" s="46">
        <f t="shared" si="352"/>
        <v>0</v>
      </c>
      <c r="S404" s="28">
        <f t="shared" si="353"/>
        <v>0</v>
      </c>
      <c r="T404" s="28">
        <f t="shared" si="354"/>
        <v>0</v>
      </c>
      <c r="U404" s="28">
        <f t="shared" si="355"/>
        <v>0</v>
      </c>
      <c r="V404" s="45">
        <f t="shared" si="343"/>
        <v>0</v>
      </c>
      <c r="W404" s="67"/>
      <c r="X404" s="68"/>
      <c r="Y404" s="68"/>
      <c r="Z404" s="68"/>
      <c r="AA404" s="415"/>
      <c r="AB404" s="79"/>
      <c r="AC404" s="79"/>
      <c r="AD404" s="79"/>
      <c r="AE404" s="79"/>
      <c r="AF404" s="79"/>
    </row>
    <row r="405" spans="1:32" s="69" customFormat="1" ht="20.25" customHeight="1">
      <c r="A405" s="393"/>
      <c r="B405" s="50" t="s">
        <v>248</v>
      </c>
      <c r="C405" s="65">
        <v>0</v>
      </c>
      <c r="D405" s="65">
        <v>0</v>
      </c>
      <c r="E405" s="83">
        <v>0</v>
      </c>
      <c r="F405" s="65">
        <v>0</v>
      </c>
      <c r="G405" s="63">
        <f t="shared" si="356"/>
        <v>0</v>
      </c>
      <c r="H405" s="64"/>
      <c r="I405" s="68"/>
      <c r="J405" s="68"/>
      <c r="K405" s="68"/>
      <c r="L405" s="65">
        <v>0</v>
      </c>
      <c r="M405" s="65">
        <v>0</v>
      </c>
      <c r="N405" s="65">
        <v>0</v>
      </c>
      <c r="O405" s="65">
        <v>0</v>
      </c>
      <c r="P405" s="66">
        <f t="shared" si="357"/>
        <v>0</v>
      </c>
      <c r="Q405" s="406"/>
      <c r="R405" s="46">
        <f t="shared" si="352"/>
        <v>0</v>
      </c>
      <c r="S405" s="28">
        <f t="shared" si="353"/>
        <v>0</v>
      </c>
      <c r="T405" s="28">
        <f t="shared" si="354"/>
        <v>0</v>
      </c>
      <c r="U405" s="28">
        <f t="shared" si="355"/>
        <v>0</v>
      </c>
      <c r="V405" s="45">
        <f t="shared" si="343"/>
        <v>0</v>
      </c>
      <c r="W405" s="67"/>
      <c r="X405" s="68"/>
      <c r="Y405" s="68"/>
      <c r="Z405" s="68"/>
      <c r="AA405" s="415"/>
      <c r="AB405" s="79"/>
      <c r="AC405" s="79"/>
      <c r="AD405" s="79"/>
      <c r="AE405" s="79"/>
      <c r="AF405" s="79"/>
    </row>
    <row r="406" spans="1:32" s="69" customFormat="1" ht="20.25" customHeight="1">
      <c r="A406" s="393"/>
      <c r="B406" s="50" t="s">
        <v>249</v>
      </c>
      <c r="C406" s="65">
        <v>0</v>
      </c>
      <c r="D406" s="65">
        <v>0</v>
      </c>
      <c r="E406" s="83">
        <v>0</v>
      </c>
      <c r="F406" s="65">
        <v>0</v>
      </c>
      <c r="G406" s="63">
        <f t="shared" si="356"/>
        <v>0</v>
      </c>
      <c r="H406" s="64"/>
      <c r="I406" s="68"/>
      <c r="J406" s="68"/>
      <c r="K406" s="68"/>
      <c r="L406" s="65">
        <v>0</v>
      </c>
      <c r="M406" s="65">
        <v>0</v>
      </c>
      <c r="N406" s="65">
        <v>0</v>
      </c>
      <c r="O406" s="65">
        <v>0</v>
      </c>
      <c r="P406" s="66">
        <f t="shared" si="357"/>
        <v>0</v>
      </c>
      <c r="Q406" s="406"/>
      <c r="R406" s="46">
        <f t="shared" si="352"/>
        <v>0</v>
      </c>
      <c r="S406" s="28">
        <f t="shared" si="353"/>
        <v>0</v>
      </c>
      <c r="T406" s="28">
        <f t="shared" si="354"/>
        <v>0</v>
      </c>
      <c r="U406" s="28">
        <f t="shared" si="355"/>
        <v>0</v>
      </c>
      <c r="V406" s="45">
        <f t="shared" si="343"/>
        <v>0</v>
      </c>
      <c r="W406" s="67"/>
      <c r="X406" s="68"/>
      <c r="Y406" s="68"/>
      <c r="Z406" s="68"/>
      <c r="AA406" s="415"/>
      <c r="AB406" s="79"/>
      <c r="AC406" s="79"/>
      <c r="AD406" s="79"/>
      <c r="AE406" s="79"/>
      <c r="AF406" s="79"/>
    </row>
    <row r="407" spans="1:32" s="69" customFormat="1" ht="20.25" customHeight="1">
      <c r="A407" s="393"/>
      <c r="B407" s="50" t="s">
        <v>250</v>
      </c>
      <c r="C407" s="65">
        <v>0</v>
      </c>
      <c r="D407" s="65">
        <v>0</v>
      </c>
      <c r="E407" s="83">
        <v>0</v>
      </c>
      <c r="F407" s="65">
        <v>0</v>
      </c>
      <c r="G407" s="63">
        <f t="shared" si="356"/>
        <v>0</v>
      </c>
      <c r="H407" s="64"/>
      <c r="I407" s="68"/>
      <c r="J407" s="68"/>
      <c r="K407" s="68"/>
      <c r="L407" s="65">
        <v>0</v>
      </c>
      <c r="M407" s="65">
        <v>0</v>
      </c>
      <c r="N407" s="65">
        <v>0</v>
      </c>
      <c r="O407" s="65">
        <v>0</v>
      </c>
      <c r="P407" s="66">
        <f t="shared" si="357"/>
        <v>0</v>
      </c>
      <c r="Q407" s="406"/>
      <c r="R407" s="46">
        <f t="shared" si="352"/>
        <v>0</v>
      </c>
      <c r="S407" s="28">
        <f t="shared" si="353"/>
        <v>0</v>
      </c>
      <c r="T407" s="28">
        <f t="shared" si="354"/>
        <v>0</v>
      </c>
      <c r="U407" s="28">
        <f t="shared" si="355"/>
        <v>0</v>
      </c>
      <c r="V407" s="45">
        <f t="shared" si="343"/>
        <v>0</v>
      </c>
      <c r="W407" s="67"/>
      <c r="X407" s="68"/>
      <c r="Y407" s="68"/>
      <c r="Z407" s="68"/>
      <c r="AA407" s="415"/>
      <c r="AB407" s="79"/>
      <c r="AC407" s="79"/>
      <c r="AD407" s="79"/>
      <c r="AE407" s="79"/>
      <c r="AF407" s="79"/>
    </row>
    <row r="408" spans="1:32" s="69" customFormat="1" ht="20.25" customHeight="1">
      <c r="A408" s="393"/>
      <c r="B408" s="50" t="s">
        <v>251</v>
      </c>
      <c r="C408" s="65">
        <v>0</v>
      </c>
      <c r="D408" s="65">
        <v>0</v>
      </c>
      <c r="E408" s="83">
        <v>0</v>
      </c>
      <c r="F408" s="65">
        <v>0</v>
      </c>
      <c r="G408" s="63">
        <f t="shared" si="356"/>
        <v>0</v>
      </c>
      <c r="H408" s="64"/>
      <c r="I408" s="68"/>
      <c r="J408" s="68"/>
      <c r="K408" s="68"/>
      <c r="L408" s="65">
        <v>0</v>
      </c>
      <c r="M408" s="65">
        <v>0</v>
      </c>
      <c r="N408" s="65">
        <v>0</v>
      </c>
      <c r="O408" s="65">
        <v>0</v>
      </c>
      <c r="P408" s="66">
        <f t="shared" si="357"/>
        <v>0</v>
      </c>
      <c r="Q408" s="406"/>
      <c r="R408" s="46">
        <f t="shared" si="352"/>
        <v>0</v>
      </c>
      <c r="S408" s="28">
        <f t="shared" si="353"/>
        <v>0</v>
      </c>
      <c r="T408" s="28">
        <f t="shared" si="354"/>
        <v>0</v>
      </c>
      <c r="U408" s="28">
        <f t="shared" si="355"/>
        <v>0</v>
      </c>
      <c r="V408" s="45">
        <f t="shared" si="343"/>
        <v>0</v>
      </c>
      <c r="W408" s="67"/>
      <c r="X408" s="68"/>
      <c r="Y408" s="68"/>
      <c r="Z408" s="68"/>
      <c r="AA408" s="415"/>
      <c r="AB408" s="79"/>
      <c r="AC408" s="79"/>
      <c r="AD408" s="79"/>
      <c r="AE408" s="79"/>
      <c r="AF408" s="79"/>
    </row>
    <row r="409" spans="1:32" s="69" customFormat="1" ht="20.25" customHeight="1">
      <c r="A409" s="393"/>
      <c r="B409" s="50" t="s">
        <v>252</v>
      </c>
      <c r="C409" s="65">
        <v>0</v>
      </c>
      <c r="D409" s="65">
        <v>0</v>
      </c>
      <c r="E409" s="83">
        <v>0</v>
      </c>
      <c r="F409" s="65">
        <v>0</v>
      </c>
      <c r="G409" s="63">
        <f t="shared" si="356"/>
        <v>0</v>
      </c>
      <c r="H409" s="64"/>
      <c r="I409" s="68"/>
      <c r="J409" s="68"/>
      <c r="K409" s="68"/>
      <c r="L409" s="65">
        <v>0</v>
      </c>
      <c r="M409" s="65">
        <v>0</v>
      </c>
      <c r="N409" s="65">
        <v>0</v>
      </c>
      <c r="O409" s="65">
        <v>0</v>
      </c>
      <c r="P409" s="66">
        <f t="shared" si="357"/>
        <v>0</v>
      </c>
      <c r="Q409" s="406"/>
      <c r="R409" s="46">
        <f t="shared" si="352"/>
        <v>0</v>
      </c>
      <c r="S409" s="28">
        <f t="shared" si="353"/>
        <v>0</v>
      </c>
      <c r="T409" s="28">
        <f t="shared" si="354"/>
        <v>0</v>
      </c>
      <c r="U409" s="28">
        <f t="shared" si="355"/>
        <v>0</v>
      </c>
      <c r="V409" s="45">
        <f t="shared" si="343"/>
        <v>0</v>
      </c>
      <c r="W409" s="67"/>
      <c r="X409" s="68"/>
      <c r="Y409" s="68"/>
      <c r="Z409" s="68"/>
      <c r="AA409" s="415"/>
      <c r="AB409" s="79"/>
      <c r="AC409" s="79"/>
      <c r="AD409" s="79"/>
      <c r="AE409" s="79"/>
      <c r="AF409" s="79"/>
    </row>
    <row r="410" spans="1:32" s="69" customFormat="1" ht="20.25" customHeight="1">
      <c r="A410" s="393"/>
      <c r="B410" s="50" t="s">
        <v>253</v>
      </c>
      <c r="C410" s="65">
        <v>0</v>
      </c>
      <c r="D410" s="65">
        <v>0</v>
      </c>
      <c r="E410" s="83">
        <v>0</v>
      </c>
      <c r="F410" s="65">
        <v>0</v>
      </c>
      <c r="G410" s="63">
        <f t="shared" si="356"/>
        <v>0</v>
      </c>
      <c r="H410" s="64"/>
      <c r="I410" s="68"/>
      <c r="J410" s="68"/>
      <c r="K410" s="68"/>
      <c r="L410" s="65">
        <v>0</v>
      </c>
      <c r="M410" s="65">
        <v>0</v>
      </c>
      <c r="N410" s="65">
        <v>0</v>
      </c>
      <c r="O410" s="65">
        <v>0</v>
      </c>
      <c r="P410" s="66">
        <f t="shared" si="357"/>
        <v>0</v>
      </c>
      <c r="Q410" s="406"/>
      <c r="R410" s="46">
        <f t="shared" si="352"/>
        <v>0</v>
      </c>
      <c r="S410" s="28">
        <f t="shared" si="353"/>
        <v>0</v>
      </c>
      <c r="T410" s="28">
        <f t="shared" si="354"/>
        <v>0</v>
      </c>
      <c r="U410" s="28">
        <f t="shared" si="355"/>
        <v>0</v>
      </c>
      <c r="V410" s="45">
        <f t="shared" si="343"/>
        <v>0</v>
      </c>
      <c r="W410" s="67"/>
      <c r="X410" s="68"/>
      <c r="Y410" s="68"/>
      <c r="Z410" s="68"/>
      <c r="AA410" s="415"/>
      <c r="AB410" s="79"/>
      <c r="AC410" s="79"/>
      <c r="AD410" s="79"/>
      <c r="AE410" s="79"/>
      <c r="AF410" s="79"/>
    </row>
    <row r="411" spans="1:32" s="69" customFormat="1" ht="20.25" customHeight="1">
      <c r="A411" s="393"/>
      <c r="B411" s="50" t="s">
        <v>254</v>
      </c>
      <c r="C411" s="65">
        <v>0</v>
      </c>
      <c r="D411" s="65">
        <v>0</v>
      </c>
      <c r="E411" s="83">
        <v>0</v>
      </c>
      <c r="F411" s="65">
        <v>0</v>
      </c>
      <c r="G411" s="63">
        <f t="shared" si="356"/>
        <v>0</v>
      </c>
      <c r="H411" s="64"/>
      <c r="I411" s="68"/>
      <c r="J411" s="68"/>
      <c r="K411" s="68"/>
      <c r="L411" s="65">
        <v>0</v>
      </c>
      <c r="M411" s="65">
        <v>0</v>
      </c>
      <c r="N411" s="65">
        <v>0</v>
      </c>
      <c r="O411" s="65">
        <v>0</v>
      </c>
      <c r="P411" s="66">
        <f t="shared" si="357"/>
        <v>0</v>
      </c>
      <c r="Q411" s="406"/>
      <c r="R411" s="46">
        <f t="shared" si="352"/>
        <v>0</v>
      </c>
      <c r="S411" s="28">
        <f t="shared" si="353"/>
        <v>0</v>
      </c>
      <c r="T411" s="28">
        <f t="shared" si="354"/>
        <v>0</v>
      </c>
      <c r="U411" s="28">
        <f t="shared" si="355"/>
        <v>0</v>
      </c>
      <c r="V411" s="45">
        <f t="shared" si="343"/>
        <v>0</v>
      </c>
      <c r="W411" s="67"/>
      <c r="X411" s="68"/>
      <c r="Y411" s="68"/>
      <c r="Z411" s="68"/>
      <c r="AA411" s="415"/>
      <c r="AB411" s="79"/>
      <c r="AC411" s="79"/>
      <c r="AD411" s="79"/>
      <c r="AE411" s="79"/>
      <c r="AF411" s="79"/>
    </row>
    <row r="412" spans="1:32" s="69" customFormat="1" ht="20.25" customHeight="1">
      <c r="A412" s="393"/>
      <c r="B412" s="42" t="s">
        <v>216</v>
      </c>
      <c r="C412" s="65">
        <v>0</v>
      </c>
      <c r="D412" s="65">
        <v>0</v>
      </c>
      <c r="E412" s="83">
        <v>0</v>
      </c>
      <c r="F412" s="65">
        <v>0</v>
      </c>
      <c r="G412" s="63">
        <f t="shared" si="356"/>
        <v>0</v>
      </c>
      <c r="H412" s="64"/>
      <c r="I412" s="68"/>
      <c r="J412" s="68"/>
      <c r="K412" s="68"/>
      <c r="L412" s="65">
        <v>0</v>
      </c>
      <c r="M412" s="65">
        <v>0</v>
      </c>
      <c r="N412" s="65">
        <v>0</v>
      </c>
      <c r="O412" s="65">
        <v>0</v>
      </c>
      <c r="P412" s="66">
        <f t="shared" si="357"/>
        <v>0</v>
      </c>
      <c r="Q412" s="406"/>
      <c r="R412" s="46">
        <f t="shared" si="352"/>
        <v>0</v>
      </c>
      <c r="S412" s="28">
        <f t="shared" si="353"/>
        <v>0</v>
      </c>
      <c r="T412" s="28">
        <f t="shared" si="354"/>
        <v>0</v>
      </c>
      <c r="U412" s="28">
        <f t="shared" si="355"/>
        <v>0</v>
      </c>
      <c r="V412" s="45">
        <f t="shared" si="343"/>
        <v>0</v>
      </c>
      <c r="W412" s="67"/>
      <c r="X412" s="68"/>
      <c r="Y412" s="68"/>
      <c r="Z412" s="68"/>
      <c r="AA412" s="415"/>
      <c r="AB412" s="79"/>
      <c r="AC412" s="79"/>
      <c r="AD412" s="79"/>
      <c r="AE412" s="79"/>
      <c r="AF412" s="79"/>
    </row>
    <row r="413" spans="1:32" s="69" customFormat="1" ht="20.25" customHeight="1">
      <c r="A413" s="393"/>
      <c r="B413" s="42"/>
      <c r="C413" s="65">
        <f>SUM(C393:C412)</f>
        <v>5669810.3300000001</v>
      </c>
      <c r="D413" s="65">
        <f t="shared" ref="D413:G413" si="358">SUM(D393:D412)</f>
        <v>405638.37</v>
      </c>
      <c r="E413" s="65">
        <f t="shared" si="358"/>
        <v>0</v>
      </c>
      <c r="F413" s="65">
        <f t="shared" si="358"/>
        <v>133173.16</v>
      </c>
      <c r="G413" s="65">
        <f t="shared" si="358"/>
        <v>6208621.8600000003</v>
      </c>
      <c r="H413" s="66">
        <f t="shared" ref="H413:K413" si="359">SUM(H393:H412)</f>
        <v>0</v>
      </c>
      <c r="I413" s="66">
        <f t="shared" si="359"/>
        <v>0</v>
      </c>
      <c r="J413" s="66">
        <f t="shared" si="359"/>
        <v>0</v>
      </c>
      <c r="K413" s="66">
        <f t="shared" si="359"/>
        <v>0</v>
      </c>
      <c r="L413" s="66">
        <f>SUM(L393:L412)</f>
        <v>0</v>
      </c>
      <c r="M413" s="66">
        <f>SUM(M393:M412)</f>
        <v>0</v>
      </c>
      <c r="N413" s="66">
        <f>SUM(N393:N412)</f>
        <v>0</v>
      </c>
      <c r="O413" s="66">
        <f>SUM(O393:O412)</f>
        <v>0</v>
      </c>
      <c r="P413" s="66">
        <f>SUM(P393:P412)</f>
        <v>0</v>
      </c>
      <c r="Q413" s="406"/>
      <c r="R413" s="46">
        <f t="shared" si="352"/>
        <v>5669810.3300000001</v>
      </c>
      <c r="S413" s="28">
        <f t="shared" si="353"/>
        <v>405638.37</v>
      </c>
      <c r="T413" s="28">
        <f t="shared" si="354"/>
        <v>0</v>
      </c>
      <c r="U413" s="28">
        <f t="shared" si="355"/>
        <v>133173.16</v>
      </c>
      <c r="V413" s="45">
        <f t="shared" si="343"/>
        <v>6208621.8600000003</v>
      </c>
      <c r="W413" s="67"/>
      <c r="X413" s="68"/>
      <c r="Y413" s="68"/>
      <c r="Z413" s="68"/>
      <c r="AA413" s="415"/>
      <c r="AB413" s="79"/>
      <c r="AC413" s="79"/>
      <c r="AD413" s="79"/>
      <c r="AE413" s="79"/>
      <c r="AF413" s="79"/>
    </row>
    <row r="414" spans="1:32" s="69" customFormat="1" ht="20.25" customHeight="1">
      <c r="A414" s="393"/>
      <c r="B414" s="85"/>
      <c r="C414" s="82"/>
      <c r="D414" s="82"/>
      <c r="E414" s="86"/>
      <c r="F414" s="82"/>
      <c r="G414" s="80"/>
      <c r="H414" s="81"/>
      <c r="L414" s="82"/>
      <c r="M414" s="82"/>
      <c r="N414" s="82"/>
      <c r="O414" s="82"/>
      <c r="P414" s="80"/>
      <c r="Q414" s="407"/>
      <c r="R414" s="27">
        <f>5725003.82-55193.49</f>
        <v>5669810.3300000001</v>
      </c>
      <c r="S414" s="27">
        <f>483618.04-77979.67</f>
        <v>405638.37</v>
      </c>
      <c r="T414" s="27">
        <v>0</v>
      </c>
      <c r="U414" s="27">
        <f>55193.49+77979.67</f>
        <v>133173.16</v>
      </c>
      <c r="V414" s="29">
        <f>+R414+S414+T414+U414</f>
        <v>6208621.8600000003</v>
      </c>
      <c r="AA414" s="79"/>
      <c r="AB414" s="79"/>
      <c r="AC414" s="79"/>
      <c r="AD414" s="79"/>
      <c r="AE414" s="79"/>
      <c r="AF414" s="79"/>
    </row>
    <row r="415" spans="1:32" s="69" customFormat="1" ht="20.25" customHeight="1">
      <c r="A415" s="393"/>
      <c r="B415" s="640" t="s">
        <v>260</v>
      </c>
      <c r="C415" s="640"/>
      <c r="D415" s="640"/>
      <c r="E415" s="640"/>
      <c r="F415" s="640"/>
      <c r="G415" s="640"/>
      <c r="H415" s="81"/>
      <c r="L415" s="82"/>
      <c r="M415" s="82"/>
      <c r="N415" s="82"/>
      <c r="O415" s="82"/>
      <c r="P415" s="80"/>
      <c r="Q415" s="407"/>
      <c r="R415" s="27"/>
      <c r="S415" s="27"/>
      <c r="T415" s="27"/>
      <c r="U415" s="27"/>
      <c r="V415" s="29"/>
      <c r="AA415" s="79"/>
      <c r="AB415" s="79"/>
      <c r="AC415" s="79"/>
      <c r="AD415" s="79"/>
      <c r="AE415" s="79"/>
      <c r="AF415" s="79"/>
    </row>
    <row r="416" spans="1:32" s="69" customFormat="1" ht="20.25" customHeight="1">
      <c r="A416" s="393"/>
      <c r="B416" s="70" t="s">
        <v>9</v>
      </c>
      <c r="C416" s="83" t="s">
        <v>206</v>
      </c>
      <c r="D416" s="83" t="s">
        <v>207</v>
      </c>
      <c r="E416" s="83" t="s">
        <v>10</v>
      </c>
      <c r="F416" s="83" t="s">
        <v>11</v>
      </c>
      <c r="G416" s="84" t="s">
        <v>208</v>
      </c>
      <c r="H416" s="64"/>
      <c r="I416" s="68"/>
      <c r="J416" s="68"/>
      <c r="K416" s="68"/>
      <c r="L416" s="65"/>
      <c r="M416" s="65"/>
      <c r="N416" s="65"/>
      <c r="O416" s="65"/>
      <c r="P416" s="66"/>
      <c r="Q416" s="406"/>
      <c r="R416" s="46"/>
      <c r="S416" s="28"/>
      <c r="T416" s="28"/>
      <c r="U416" s="28"/>
      <c r="V416" s="45"/>
      <c r="W416" s="67"/>
      <c r="X416" s="68"/>
      <c r="Y416" s="68"/>
      <c r="Z416" s="68"/>
      <c r="AA416" s="415"/>
      <c r="AB416" s="79"/>
      <c r="AC416" s="79"/>
      <c r="AD416" s="79"/>
      <c r="AE416" s="79"/>
      <c r="AF416" s="79"/>
    </row>
    <row r="417" spans="1:32" s="69" customFormat="1" ht="20.25" customHeight="1">
      <c r="A417" s="393"/>
      <c r="B417" s="42" t="s">
        <v>237</v>
      </c>
      <c r="C417" s="62">
        <v>460000</v>
      </c>
      <c r="D417" s="62">
        <v>0</v>
      </c>
      <c r="E417" s="376">
        <v>0</v>
      </c>
      <c r="F417" s="62">
        <v>0</v>
      </c>
      <c r="G417" s="63">
        <f t="shared" ref="G417:G436" si="360">SUM(C417:F417)</f>
        <v>460000</v>
      </c>
      <c r="H417" s="64"/>
      <c r="I417" s="68"/>
      <c r="J417" s="68"/>
      <c r="K417" s="68"/>
      <c r="L417" s="65">
        <v>0</v>
      </c>
      <c r="M417" s="65">
        <v>0</v>
      </c>
      <c r="N417" s="65">
        <v>0</v>
      </c>
      <c r="O417" s="65">
        <v>0</v>
      </c>
      <c r="P417" s="66">
        <f>SUM(L417:O417)</f>
        <v>0</v>
      </c>
      <c r="Q417" s="406"/>
      <c r="R417" s="46">
        <f t="shared" ref="R417:R437" si="361">+C417+L417</f>
        <v>460000</v>
      </c>
      <c r="S417" s="28">
        <f t="shared" ref="S417:S437" si="362">+D417+M417</f>
        <v>0</v>
      </c>
      <c r="T417" s="28">
        <f t="shared" ref="T417:T437" si="363">+E417+N417</f>
        <v>0</v>
      </c>
      <c r="U417" s="28">
        <f t="shared" ref="U417:U437" si="364">+F417+O417</f>
        <v>0</v>
      </c>
      <c r="V417" s="45">
        <f t="shared" si="343"/>
        <v>460000</v>
      </c>
      <c r="W417" s="67"/>
      <c r="X417" s="68"/>
      <c r="Y417" s="68"/>
      <c r="Z417" s="68"/>
      <c r="AA417" s="415"/>
      <c r="AB417" s="79"/>
      <c r="AC417" s="79"/>
      <c r="AD417" s="79"/>
      <c r="AE417" s="79"/>
      <c r="AF417" s="79"/>
    </row>
    <row r="418" spans="1:32" s="69" customFormat="1" ht="20.25" customHeight="1">
      <c r="A418" s="393"/>
      <c r="B418" s="42" t="s">
        <v>238</v>
      </c>
      <c r="C418" s="62">
        <v>6359921.75</v>
      </c>
      <c r="D418" s="62">
        <f>2463338.97+58465</f>
        <v>2521803.9700000002</v>
      </c>
      <c r="E418" s="376">
        <v>0</v>
      </c>
      <c r="F418" s="62">
        <v>633980.72</v>
      </c>
      <c r="G418" s="63">
        <f t="shared" si="360"/>
        <v>9515706.4400000013</v>
      </c>
      <c r="H418" s="64"/>
      <c r="I418" s="68"/>
      <c r="J418" s="68"/>
      <c r="K418" s="68"/>
      <c r="L418" s="65">
        <v>0</v>
      </c>
      <c r="M418" s="65">
        <v>0</v>
      </c>
      <c r="N418" s="65">
        <v>0</v>
      </c>
      <c r="O418" s="65">
        <v>0</v>
      </c>
      <c r="P418" s="66">
        <f t="shared" ref="P418:P436" si="365">SUM(L418:O418)</f>
        <v>0</v>
      </c>
      <c r="Q418" s="406"/>
      <c r="R418" s="46">
        <f t="shared" si="361"/>
        <v>6359921.75</v>
      </c>
      <c r="S418" s="28">
        <f t="shared" si="362"/>
        <v>2521803.9700000002</v>
      </c>
      <c r="T418" s="28">
        <f t="shared" si="363"/>
        <v>0</v>
      </c>
      <c r="U418" s="28">
        <f t="shared" si="364"/>
        <v>633980.72</v>
      </c>
      <c r="V418" s="45">
        <f t="shared" si="343"/>
        <v>9515706.4400000013</v>
      </c>
      <c r="W418" s="67"/>
      <c r="X418" s="68"/>
      <c r="Y418" s="68"/>
      <c r="Z418" s="68"/>
      <c r="AA418" s="415"/>
      <c r="AB418" s="79"/>
      <c r="AC418" s="79"/>
      <c r="AD418" s="79"/>
      <c r="AE418" s="79"/>
      <c r="AF418" s="79"/>
    </row>
    <row r="419" spans="1:32" s="69" customFormat="1" ht="20.25" customHeight="1">
      <c r="A419" s="393"/>
      <c r="B419" s="70" t="s">
        <v>239</v>
      </c>
      <c r="C419" s="62">
        <v>79545</v>
      </c>
      <c r="D419" s="376">
        <v>0</v>
      </c>
      <c r="E419" s="376">
        <v>0</v>
      </c>
      <c r="F419" s="376"/>
      <c r="G419" s="63">
        <f t="shared" si="360"/>
        <v>79545</v>
      </c>
      <c r="H419" s="64"/>
      <c r="I419" s="68"/>
      <c r="J419" s="68"/>
      <c r="K419" s="68"/>
      <c r="L419" s="65">
        <v>0</v>
      </c>
      <c r="M419" s="65">
        <v>0</v>
      </c>
      <c r="N419" s="65">
        <v>0</v>
      </c>
      <c r="O419" s="65">
        <v>0</v>
      </c>
      <c r="P419" s="66">
        <f t="shared" si="365"/>
        <v>0</v>
      </c>
      <c r="Q419" s="406"/>
      <c r="R419" s="46">
        <f t="shared" si="361"/>
        <v>79545</v>
      </c>
      <c r="S419" s="28">
        <f t="shared" si="362"/>
        <v>0</v>
      </c>
      <c r="T419" s="28">
        <f t="shared" si="363"/>
        <v>0</v>
      </c>
      <c r="U419" s="28">
        <f t="shared" si="364"/>
        <v>0</v>
      </c>
      <c r="V419" s="45">
        <f t="shared" si="343"/>
        <v>79545</v>
      </c>
      <c r="W419" s="67"/>
      <c r="X419" s="68"/>
      <c r="Y419" s="68"/>
      <c r="Z419" s="68"/>
      <c r="AA419" s="415"/>
      <c r="AB419" s="79"/>
      <c r="AC419" s="79"/>
      <c r="AD419" s="79"/>
      <c r="AE419" s="79"/>
      <c r="AF419" s="79"/>
    </row>
    <row r="420" spans="1:32" s="69" customFormat="1" ht="20.25" customHeight="1">
      <c r="A420" s="393"/>
      <c r="B420" s="70" t="s">
        <v>240</v>
      </c>
      <c r="C420" s="62">
        <v>149893</v>
      </c>
      <c r="D420" s="62">
        <v>265000</v>
      </c>
      <c r="E420" s="376">
        <v>0</v>
      </c>
      <c r="F420" s="62"/>
      <c r="G420" s="63">
        <f t="shared" si="360"/>
        <v>414893</v>
      </c>
      <c r="H420" s="64"/>
      <c r="I420" s="68"/>
      <c r="J420" s="68"/>
      <c r="K420" s="68"/>
      <c r="L420" s="65">
        <v>0</v>
      </c>
      <c r="M420" s="65">
        <v>0</v>
      </c>
      <c r="N420" s="65">
        <v>0</v>
      </c>
      <c r="O420" s="65">
        <v>0</v>
      </c>
      <c r="P420" s="66">
        <f t="shared" si="365"/>
        <v>0</v>
      </c>
      <c r="Q420" s="406"/>
      <c r="R420" s="46">
        <f t="shared" si="361"/>
        <v>149893</v>
      </c>
      <c r="S420" s="28">
        <f t="shared" si="362"/>
        <v>265000</v>
      </c>
      <c r="T420" s="28">
        <f t="shared" si="363"/>
        <v>0</v>
      </c>
      <c r="U420" s="28">
        <f t="shared" si="364"/>
        <v>0</v>
      </c>
      <c r="V420" s="45">
        <f t="shared" si="343"/>
        <v>414893</v>
      </c>
      <c r="W420" s="67"/>
      <c r="X420" s="68"/>
      <c r="Y420" s="68"/>
      <c r="Z420" s="68"/>
      <c r="AA420" s="415"/>
      <c r="AB420" s="79"/>
      <c r="AC420" s="79"/>
      <c r="AD420" s="79"/>
      <c r="AE420" s="79"/>
      <c r="AF420" s="79"/>
    </row>
    <row r="421" spans="1:32" s="69" customFormat="1" ht="20.25" customHeight="1">
      <c r="A421" s="393"/>
      <c r="B421" s="42" t="s">
        <v>241</v>
      </c>
      <c r="C421" s="62">
        <v>0</v>
      </c>
      <c r="D421" s="62">
        <v>0</v>
      </c>
      <c r="E421" s="376">
        <v>0</v>
      </c>
      <c r="F421" s="62">
        <v>0</v>
      </c>
      <c r="G421" s="63">
        <f t="shared" si="360"/>
        <v>0</v>
      </c>
      <c r="H421" s="64"/>
      <c r="I421" s="68"/>
      <c r="J421" s="68"/>
      <c r="K421" s="68"/>
      <c r="L421" s="65">
        <v>0</v>
      </c>
      <c r="M421" s="65">
        <v>0</v>
      </c>
      <c r="N421" s="65">
        <v>0</v>
      </c>
      <c r="O421" s="65">
        <v>0</v>
      </c>
      <c r="P421" s="66">
        <f t="shared" si="365"/>
        <v>0</v>
      </c>
      <c r="Q421" s="406"/>
      <c r="R421" s="46">
        <f t="shared" si="361"/>
        <v>0</v>
      </c>
      <c r="S421" s="28">
        <f t="shared" si="362"/>
        <v>0</v>
      </c>
      <c r="T421" s="28">
        <f t="shared" si="363"/>
        <v>0</v>
      </c>
      <c r="U421" s="28">
        <f t="shared" si="364"/>
        <v>0</v>
      </c>
      <c r="V421" s="45">
        <f t="shared" si="343"/>
        <v>0</v>
      </c>
      <c r="W421" s="67"/>
      <c r="X421" s="68"/>
      <c r="Y421" s="68"/>
      <c r="Z421" s="68"/>
      <c r="AA421" s="415"/>
      <c r="AB421" s="79"/>
      <c r="AC421" s="79"/>
      <c r="AD421" s="79"/>
      <c r="AE421" s="79"/>
      <c r="AF421" s="79"/>
    </row>
    <row r="422" spans="1:32" s="69" customFormat="1" ht="20.25" customHeight="1">
      <c r="A422" s="393"/>
      <c r="B422" s="42" t="s">
        <v>242</v>
      </c>
      <c r="C422" s="62">
        <v>0</v>
      </c>
      <c r="D422" s="62">
        <v>0</v>
      </c>
      <c r="E422" s="376">
        <v>0</v>
      </c>
      <c r="F422" s="62">
        <v>0</v>
      </c>
      <c r="G422" s="63">
        <f t="shared" si="360"/>
        <v>0</v>
      </c>
      <c r="H422" s="64"/>
      <c r="I422" s="68"/>
      <c r="J422" s="68"/>
      <c r="K422" s="68"/>
      <c r="L422" s="65">
        <v>0</v>
      </c>
      <c r="M422" s="65">
        <v>0</v>
      </c>
      <c r="N422" s="65">
        <v>0</v>
      </c>
      <c r="O422" s="65">
        <v>0</v>
      </c>
      <c r="P422" s="66">
        <f t="shared" si="365"/>
        <v>0</v>
      </c>
      <c r="Q422" s="406"/>
      <c r="R422" s="46">
        <f t="shared" si="361"/>
        <v>0</v>
      </c>
      <c r="S422" s="28">
        <f t="shared" si="362"/>
        <v>0</v>
      </c>
      <c r="T422" s="28">
        <f t="shared" si="363"/>
        <v>0</v>
      </c>
      <c r="U422" s="28">
        <f t="shared" si="364"/>
        <v>0</v>
      </c>
      <c r="V422" s="45">
        <f t="shared" ref="V422:V461" si="366">SUM(R422:U422)</f>
        <v>0</v>
      </c>
      <c r="W422" s="67"/>
      <c r="X422" s="68"/>
      <c r="Y422" s="68"/>
      <c r="Z422" s="68"/>
      <c r="AA422" s="415"/>
      <c r="AB422" s="79"/>
      <c r="AC422" s="79"/>
      <c r="AD422" s="79"/>
      <c r="AE422" s="79"/>
      <c r="AF422" s="79"/>
    </row>
    <row r="423" spans="1:32" s="69" customFormat="1" ht="20.25" customHeight="1">
      <c r="A423" s="393"/>
      <c r="B423" s="50" t="s">
        <v>438</v>
      </c>
      <c r="C423" s="65">
        <v>1670000.56</v>
      </c>
      <c r="D423" s="65">
        <v>0</v>
      </c>
      <c r="E423" s="83">
        <v>0</v>
      </c>
      <c r="F423" s="65">
        <v>0</v>
      </c>
      <c r="G423" s="63">
        <f t="shared" si="360"/>
        <v>1670000.56</v>
      </c>
      <c r="H423" s="64"/>
      <c r="I423" s="68"/>
      <c r="J423" s="68"/>
      <c r="K423" s="68"/>
      <c r="L423" s="65">
        <v>0</v>
      </c>
      <c r="M423" s="65">
        <v>0</v>
      </c>
      <c r="N423" s="65">
        <v>0</v>
      </c>
      <c r="O423" s="65">
        <v>0</v>
      </c>
      <c r="P423" s="66">
        <f t="shared" si="365"/>
        <v>0</v>
      </c>
      <c r="Q423" s="406"/>
      <c r="R423" s="46">
        <f t="shared" si="361"/>
        <v>1670000.56</v>
      </c>
      <c r="S423" s="28">
        <f t="shared" si="362"/>
        <v>0</v>
      </c>
      <c r="T423" s="28">
        <f t="shared" si="363"/>
        <v>0</v>
      </c>
      <c r="U423" s="28">
        <f t="shared" si="364"/>
        <v>0</v>
      </c>
      <c r="V423" s="45">
        <f t="shared" si="366"/>
        <v>1670000.56</v>
      </c>
      <c r="W423" s="67"/>
      <c r="X423" s="68"/>
      <c r="Y423" s="68"/>
      <c r="Z423" s="68"/>
      <c r="AA423" s="415"/>
      <c r="AB423" s="79"/>
      <c r="AC423" s="79"/>
      <c r="AD423" s="79"/>
      <c r="AE423" s="79"/>
      <c r="AF423" s="79"/>
    </row>
    <row r="424" spans="1:32" s="69" customFormat="1" ht="20.25" customHeight="1">
      <c r="A424" s="393"/>
      <c r="B424" s="50" t="s">
        <v>243</v>
      </c>
      <c r="C424" s="65">
        <v>0</v>
      </c>
      <c r="D424" s="65">
        <v>0</v>
      </c>
      <c r="E424" s="83">
        <v>0</v>
      </c>
      <c r="F424" s="65">
        <v>0</v>
      </c>
      <c r="G424" s="63">
        <f t="shared" si="360"/>
        <v>0</v>
      </c>
      <c r="H424" s="64"/>
      <c r="I424" s="68"/>
      <c r="J424" s="68"/>
      <c r="K424" s="68"/>
      <c r="L424" s="65">
        <v>0</v>
      </c>
      <c r="M424" s="65">
        <v>0</v>
      </c>
      <c r="N424" s="65">
        <v>0</v>
      </c>
      <c r="O424" s="65">
        <v>0</v>
      </c>
      <c r="P424" s="66">
        <f t="shared" si="365"/>
        <v>0</v>
      </c>
      <c r="Q424" s="406"/>
      <c r="R424" s="46">
        <f t="shared" si="361"/>
        <v>0</v>
      </c>
      <c r="S424" s="28">
        <f t="shared" si="362"/>
        <v>0</v>
      </c>
      <c r="T424" s="28">
        <f t="shared" si="363"/>
        <v>0</v>
      </c>
      <c r="U424" s="28">
        <f t="shared" si="364"/>
        <v>0</v>
      </c>
      <c r="V424" s="45">
        <f t="shared" si="366"/>
        <v>0</v>
      </c>
      <c r="W424" s="67"/>
      <c r="X424" s="68"/>
      <c r="Y424" s="68"/>
      <c r="Z424" s="68"/>
      <c r="AA424" s="415"/>
      <c r="AB424" s="79"/>
      <c r="AC424" s="79"/>
      <c r="AD424" s="79"/>
      <c r="AE424" s="79"/>
      <c r="AF424" s="79"/>
    </row>
    <row r="425" spans="1:32" s="69" customFormat="1" ht="20.25" customHeight="1">
      <c r="A425" s="393"/>
      <c r="B425" s="50" t="s">
        <v>244</v>
      </c>
      <c r="C425" s="65">
        <v>0</v>
      </c>
      <c r="D425" s="65">
        <v>0</v>
      </c>
      <c r="E425" s="83">
        <v>0</v>
      </c>
      <c r="F425" s="65">
        <v>0</v>
      </c>
      <c r="G425" s="63">
        <f t="shared" si="360"/>
        <v>0</v>
      </c>
      <c r="H425" s="64"/>
      <c r="I425" s="68"/>
      <c r="J425" s="68"/>
      <c r="K425" s="68"/>
      <c r="L425" s="65">
        <v>0</v>
      </c>
      <c r="M425" s="65">
        <v>0</v>
      </c>
      <c r="N425" s="65">
        <v>0</v>
      </c>
      <c r="O425" s="65">
        <v>0</v>
      </c>
      <c r="P425" s="66">
        <f t="shared" si="365"/>
        <v>0</v>
      </c>
      <c r="Q425" s="406"/>
      <c r="R425" s="46">
        <f t="shared" si="361"/>
        <v>0</v>
      </c>
      <c r="S425" s="28">
        <f t="shared" si="362"/>
        <v>0</v>
      </c>
      <c r="T425" s="28">
        <f t="shared" si="363"/>
        <v>0</v>
      </c>
      <c r="U425" s="28">
        <f t="shared" si="364"/>
        <v>0</v>
      </c>
      <c r="V425" s="45">
        <f t="shared" si="366"/>
        <v>0</v>
      </c>
      <c r="W425" s="67"/>
      <c r="X425" s="68"/>
      <c r="Y425" s="68"/>
      <c r="Z425" s="68"/>
      <c r="AA425" s="415"/>
      <c r="AB425" s="79"/>
      <c r="AC425" s="79"/>
      <c r="AD425" s="79"/>
      <c r="AE425" s="79"/>
      <c r="AF425" s="79"/>
    </row>
    <row r="426" spans="1:32" s="69" customFormat="1" ht="20.25" customHeight="1">
      <c r="A426" s="393"/>
      <c r="B426" s="50" t="s">
        <v>245</v>
      </c>
      <c r="C426" s="65">
        <v>0</v>
      </c>
      <c r="D426" s="65">
        <v>0</v>
      </c>
      <c r="E426" s="83">
        <v>0</v>
      </c>
      <c r="F426" s="65">
        <v>0</v>
      </c>
      <c r="G426" s="63">
        <f t="shared" si="360"/>
        <v>0</v>
      </c>
      <c r="H426" s="64"/>
      <c r="I426" s="68"/>
      <c r="J426" s="68"/>
      <c r="K426" s="68"/>
      <c r="L426" s="65">
        <v>0</v>
      </c>
      <c r="M426" s="65">
        <v>0</v>
      </c>
      <c r="N426" s="65">
        <v>0</v>
      </c>
      <c r="O426" s="65">
        <v>0</v>
      </c>
      <c r="P426" s="66">
        <f t="shared" si="365"/>
        <v>0</v>
      </c>
      <c r="Q426" s="406"/>
      <c r="R426" s="46">
        <f t="shared" si="361"/>
        <v>0</v>
      </c>
      <c r="S426" s="28">
        <f t="shared" si="362"/>
        <v>0</v>
      </c>
      <c r="T426" s="28">
        <f t="shared" si="363"/>
        <v>0</v>
      </c>
      <c r="U426" s="28">
        <f t="shared" si="364"/>
        <v>0</v>
      </c>
      <c r="V426" s="45">
        <f t="shared" si="366"/>
        <v>0</v>
      </c>
      <c r="W426" s="67"/>
      <c r="X426" s="68"/>
      <c r="Y426" s="68"/>
      <c r="Z426" s="68"/>
      <c r="AA426" s="415"/>
      <c r="AB426" s="79"/>
      <c r="AC426" s="79"/>
      <c r="AD426" s="79"/>
      <c r="AE426" s="79"/>
      <c r="AF426" s="79"/>
    </row>
    <row r="427" spans="1:32" s="69" customFormat="1" ht="20.25" customHeight="1">
      <c r="A427" s="393"/>
      <c r="B427" s="50" t="s">
        <v>246</v>
      </c>
      <c r="C427" s="65">
        <v>0</v>
      </c>
      <c r="D427" s="65">
        <v>0</v>
      </c>
      <c r="E427" s="83">
        <v>0</v>
      </c>
      <c r="F427" s="65">
        <v>0</v>
      </c>
      <c r="G427" s="63">
        <f t="shared" si="360"/>
        <v>0</v>
      </c>
      <c r="H427" s="64"/>
      <c r="I427" s="68"/>
      <c r="J427" s="68"/>
      <c r="K427" s="68"/>
      <c r="L427" s="65">
        <v>0</v>
      </c>
      <c r="M427" s="65">
        <v>0</v>
      </c>
      <c r="N427" s="65">
        <v>0</v>
      </c>
      <c r="O427" s="65">
        <v>0</v>
      </c>
      <c r="P427" s="66">
        <f t="shared" si="365"/>
        <v>0</v>
      </c>
      <c r="Q427" s="406"/>
      <c r="R427" s="46">
        <f t="shared" si="361"/>
        <v>0</v>
      </c>
      <c r="S427" s="28">
        <f t="shared" si="362"/>
        <v>0</v>
      </c>
      <c r="T427" s="28">
        <f t="shared" si="363"/>
        <v>0</v>
      </c>
      <c r="U427" s="28">
        <f t="shared" si="364"/>
        <v>0</v>
      </c>
      <c r="V427" s="45">
        <f t="shared" si="366"/>
        <v>0</v>
      </c>
      <c r="W427" s="67"/>
      <c r="X427" s="68"/>
      <c r="Y427" s="68"/>
      <c r="Z427" s="68"/>
      <c r="AA427" s="415"/>
      <c r="AB427" s="79"/>
      <c r="AC427" s="79"/>
      <c r="AD427" s="79"/>
      <c r="AE427" s="79"/>
      <c r="AF427" s="79"/>
    </row>
    <row r="428" spans="1:32" s="69" customFormat="1" ht="20.25" customHeight="1">
      <c r="A428" s="393"/>
      <c r="B428" s="50" t="s">
        <v>247</v>
      </c>
      <c r="C428" s="65">
        <v>0</v>
      </c>
      <c r="D428" s="65">
        <v>0</v>
      </c>
      <c r="E428" s="83">
        <v>0</v>
      </c>
      <c r="F428" s="65">
        <v>0</v>
      </c>
      <c r="G428" s="63">
        <f t="shared" si="360"/>
        <v>0</v>
      </c>
      <c r="H428" s="64"/>
      <c r="I428" s="68"/>
      <c r="J428" s="68"/>
      <c r="K428" s="68"/>
      <c r="L428" s="65">
        <v>0</v>
      </c>
      <c r="M428" s="65">
        <v>0</v>
      </c>
      <c r="N428" s="65">
        <v>0</v>
      </c>
      <c r="O428" s="65">
        <v>0</v>
      </c>
      <c r="P428" s="66">
        <f t="shared" si="365"/>
        <v>0</v>
      </c>
      <c r="Q428" s="406"/>
      <c r="R428" s="46">
        <f t="shared" si="361"/>
        <v>0</v>
      </c>
      <c r="S428" s="28">
        <f t="shared" si="362"/>
        <v>0</v>
      </c>
      <c r="T428" s="28">
        <f t="shared" si="363"/>
        <v>0</v>
      </c>
      <c r="U428" s="28">
        <f t="shared" si="364"/>
        <v>0</v>
      </c>
      <c r="V428" s="45">
        <f t="shared" si="366"/>
        <v>0</v>
      </c>
      <c r="W428" s="67"/>
      <c r="X428" s="68"/>
      <c r="Y428" s="68"/>
      <c r="Z428" s="68"/>
      <c r="AA428" s="415"/>
      <c r="AB428" s="79"/>
      <c r="AC428" s="79"/>
      <c r="AD428" s="79"/>
      <c r="AE428" s="79"/>
      <c r="AF428" s="79"/>
    </row>
    <row r="429" spans="1:32" s="69" customFormat="1" ht="20.25" customHeight="1">
      <c r="A429" s="393"/>
      <c r="B429" s="50" t="s">
        <v>248</v>
      </c>
      <c r="C429" s="65">
        <v>0</v>
      </c>
      <c r="D429" s="65">
        <v>0</v>
      </c>
      <c r="E429" s="83">
        <v>0</v>
      </c>
      <c r="F429" s="65">
        <v>0</v>
      </c>
      <c r="G429" s="63">
        <f t="shared" si="360"/>
        <v>0</v>
      </c>
      <c r="H429" s="64"/>
      <c r="I429" s="68"/>
      <c r="J429" s="68"/>
      <c r="K429" s="68"/>
      <c r="L429" s="65">
        <v>0</v>
      </c>
      <c r="M429" s="65">
        <v>0</v>
      </c>
      <c r="N429" s="65">
        <v>0</v>
      </c>
      <c r="O429" s="65">
        <v>0</v>
      </c>
      <c r="P429" s="66">
        <f t="shared" si="365"/>
        <v>0</v>
      </c>
      <c r="Q429" s="406"/>
      <c r="R429" s="46">
        <f t="shared" si="361"/>
        <v>0</v>
      </c>
      <c r="S429" s="28">
        <f t="shared" si="362"/>
        <v>0</v>
      </c>
      <c r="T429" s="28">
        <f t="shared" si="363"/>
        <v>0</v>
      </c>
      <c r="U429" s="28">
        <f t="shared" si="364"/>
        <v>0</v>
      </c>
      <c r="V429" s="45">
        <f t="shared" si="366"/>
        <v>0</v>
      </c>
      <c r="W429" s="67"/>
      <c r="X429" s="68"/>
      <c r="Y429" s="68"/>
      <c r="Z429" s="68"/>
      <c r="AA429" s="415"/>
      <c r="AB429" s="79"/>
      <c r="AC429" s="79"/>
      <c r="AD429" s="79"/>
      <c r="AE429" s="79"/>
      <c r="AF429" s="79"/>
    </row>
    <row r="430" spans="1:32" s="69" customFormat="1" ht="20.25" customHeight="1">
      <c r="A430" s="393"/>
      <c r="B430" s="50" t="s">
        <v>249</v>
      </c>
      <c r="C430" s="65">
        <v>0</v>
      </c>
      <c r="D430" s="65">
        <v>0</v>
      </c>
      <c r="E430" s="83">
        <v>0</v>
      </c>
      <c r="F430" s="65">
        <v>0</v>
      </c>
      <c r="G430" s="63">
        <f t="shared" si="360"/>
        <v>0</v>
      </c>
      <c r="H430" s="64"/>
      <c r="I430" s="68"/>
      <c r="J430" s="68"/>
      <c r="K430" s="68"/>
      <c r="L430" s="65">
        <v>0</v>
      </c>
      <c r="M430" s="65">
        <v>0</v>
      </c>
      <c r="N430" s="65">
        <v>0</v>
      </c>
      <c r="O430" s="65">
        <v>0</v>
      </c>
      <c r="P430" s="66">
        <f t="shared" si="365"/>
        <v>0</v>
      </c>
      <c r="Q430" s="406"/>
      <c r="R430" s="46">
        <f t="shared" si="361"/>
        <v>0</v>
      </c>
      <c r="S430" s="28">
        <f t="shared" si="362"/>
        <v>0</v>
      </c>
      <c r="T430" s="28">
        <f t="shared" si="363"/>
        <v>0</v>
      </c>
      <c r="U430" s="28">
        <f t="shared" si="364"/>
        <v>0</v>
      </c>
      <c r="V430" s="45">
        <f t="shared" si="366"/>
        <v>0</v>
      </c>
      <c r="W430" s="67"/>
      <c r="X430" s="68"/>
      <c r="Y430" s="68"/>
      <c r="Z430" s="68"/>
      <c r="AA430" s="415"/>
      <c r="AB430" s="79"/>
      <c r="AC430" s="79"/>
      <c r="AD430" s="79"/>
      <c r="AE430" s="79"/>
      <c r="AF430" s="79"/>
    </row>
    <row r="431" spans="1:32" s="69" customFormat="1" ht="20.25" customHeight="1">
      <c r="A431" s="393"/>
      <c r="B431" s="50" t="s">
        <v>250</v>
      </c>
      <c r="C431" s="65">
        <v>0</v>
      </c>
      <c r="D431" s="65">
        <v>0</v>
      </c>
      <c r="E431" s="83">
        <v>0</v>
      </c>
      <c r="F431" s="65">
        <v>0</v>
      </c>
      <c r="G431" s="63">
        <f t="shared" si="360"/>
        <v>0</v>
      </c>
      <c r="H431" s="64"/>
      <c r="I431" s="68"/>
      <c r="J431" s="68"/>
      <c r="K431" s="68"/>
      <c r="L431" s="65">
        <v>0</v>
      </c>
      <c r="M431" s="65">
        <v>0</v>
      </c>
      <c r="N431" s="65">
        <v>0</v>
      </c>
      <c r="O431" s="65">
        <v>0</v>
      </c>
      <c r="P431" s="66">
        <f t="shared" si="365"/>
        <v>0</v>
      </c>
      <c r="Q431" s="406"/>
      <c r="R431" s="46">
        <f t="shared" si="361"/>
        <v>0</v>
      </c>
      <c r="S431" s="28">
        <f t="shared" si="362"/>
        <v>0</v>
      </c>
      <c r="T431" s="28">
        <f t="shared" si="363"/>
        <v>0</v>
      </c>
      <c r="U431" s="28">
        <f t="shared" si="364"/>
        <v>0</v>
      </c>
      <c r="V431" s="45">
        <f t="shared" si="366"/>
        <v>0</v>
      </c>
      <c r="W431" s="67"/>
      <c r="X431" s="68"/>
      <c r="Y431" s="68"/>
      <c r="Z431" s="68"/>
      <c r="AA431" s="415"/>
      <c r="AB431" s="79"/>
      <c r="AC431" s="79"/>
      <c r="AD431" s="79"/>
      <c r="AE431" s="79"/>
      <c r="AF431" s="79"/>
    </row>
    <row r="432" spans="1:32" s="69" customFormat="1" ht="20.25" customHeight="1">
      <c r="A432" s="393"/>
      <c r="B432" s="50" t="s">
        <v>251</v>
      </c>
      <c r="C432" s="65">
        <v>0</v>
      </c>
      <c r="D432" s="65">
        <v>0</v>
      </c>
      <c r="E432" s="83">
        <v>0</v>
      </c>
      <c r="F432" s="65">
        <v>0</v>
      </c>
      <c r="G432" s="63">
        <f t="shared" si="360"/>
        <v>0</v>
      </c>
      <c r="H432" s="64"/>
      <c r="I432" s="68"/>
      <c r="J432" s="68"/>
      <c r="K432" s="68"/>
      <c r="L432" s="65">
        <v>0</v>
      </c>
      <c r="M432" s="65">
        <v>0</v>
      </c>
      <c r="N432" s="65">
        <v>0</v>
      </c>
      <c r="O432" s="65">
        <v>0</v>
      </c>
      <c r="P432" s="66">
        <f t="shared" si="365"/>
        <v>0</v>
      </c>
      <c r="Q432" s="406"/>
      <c r="R432" s="46">
        <f t="shared" si="361"/>
        <v>0</v>
      </c>
      <c r="S432" s="28">
        <f t="shared" si="362"/>
        <v>0</v>
      </c>
      <c r="T432" s="28">
        <f t="shared" si="363"/>
        <v>0</v>
      </c>
      <c r="U432" s="28">
        <f t="shared" si="364"/>
        <v>0</v>
      </c>
      <c r="V432" s="45">
        <f t="shared" si="366"/>
        <v>0</v>
      </c>
      <c r="W432" s="67"/>
      <c r="X432" s="68"/>
      <c r="Y432" s="68"/>
      <c r="Z432" s="68"/>
      <c r="AA432" s="415"/>
      <c r="AB432" s="79"/>
      <c r="AC432" s="79"/>
      <c r="AD432" s="79"/>
      <c r="AE432" s="79"/>
      <c r="AF432" s="79"/>
    </row>
    <row r="433" spans="1:32" s="69" customFormat="1" ht="20.25" customHeight="1">
      <c r="A433" s="393"/>
      <c r="B433" s="50" t="s">
        <v>252</v>
      </c>
      <c r="C433" s="65">
        <v>0</v>
      </c>
      <c r="D433" s="65">
        <v>0</v>
      </c>
      <c r="E433" s="83">
        <v>0</v>
      </c>
      <c r="F433" s="65">
        <v>0</v>
      </c>
      <c r="G433" s="63">
        <f t="shared" si="360"/>
        <v>0</v>
      </c>
      <c r="H433" s="64"/>
      <c r="I433" s="68"/>
      <c r="J433" s="68"/>
      <c r="K433" s="68"/>
      <c r="L433" s="65">
        <v>0</v>
      </c>
      <c r="M433" s="65">
        <v>0</v>
      </c>
      <c r="N433" s="65">
        <v>0</v>
      </c>
      <c r="O433" s="65">
        <v>0</v>
      </c>
      <c r="P433" s="66">
        <f t="shared" si="365"/>
        <v>0</v>
      </c>
      <c r="Q433" s="406"/>
      <c r="R433" s="46">
        <f t="shared" si="361"/>
        <v>0</v>
      </c>
      <c r="S433" s="28">
        <f t="shared" si="362"/>
        <v>0</v>
      </c>
      <c r="T433" s="28">
        <f t="shared" si="363"/>
        <v>0</v>
      </c>
      <c r="U433" s="28">
        <f t="shared" si="364"/>
        <v>0</v>
      </c>
      <c r="V433" s="45">
        <f t="shared" si="366"/>
        <v>0</v>
      </c>
      <c r="W433" s="67"/>
      <c r="X433" s="68"/>
      <c r="Y433" s="68"/>
      <c r="Z433" s="68"/>
      <c r="AA433" s="415"/>
      <c r="AB433" s="79"/>
      <c r="AC433" s="79"/>
      <c r="AD433" s="79"/>
      <c r="AE433" s="79"/>
      <c r="AF433" s="79"/>
    </row>
    <row r="434" spans="1:32" s="69" customFormat="1" ht="20.25" customHeight="1">
      <c r="A434" s="393"/>
      <c r="B434" s="50" t="s">
        <v>253</v>
      </c>
      <c r="C434" s="65">
        <v>0</v>
      </c>
      <c r="D434" s="65">
        <v>0</v>
      </c>
      <c r="E434" s="83">
        <v>0</v>
      </c>
      <c r="F434" s="65">
        <v>0</v>
      </c>
      <c r="G434" s="63">
        <f t="shared" si="360"/>
        <v>0</v>
      </c>
      <c r="H434" s="64"/>
      <c r="I434" s="68"/>
      <c r="J434" s="68"/>
      <c r="K434" s="68"/>
      <c r="L434" s="65">
        <v>0</v>
      </c>
      <c r="M434" s="65">
        <v>0</v>
      </c>
      <c r="N434" s="65">
        <v>0</v>
      </c>
      <c r="O434" s="65">
        <v>0</v>
      </c>
      <c r="P434" s="66">
        <f t="shared" si="365"/>
        <v>0</v>
      </c>
      <c r="Q434" s="406"/>
      <c r="R434" s="46">
        <f t="shared" si="361"/>
        <v>0</v>
      </c>
      <c r="S434" s="28">
        <f t="shared" si="362"/>
        <v>0</v>
      </c>
      <c r="T434" s="28">
        <f t="shared" si="363"/>
        <v>0</v>
      </c>
      <c r="U434" s="28">
        <f t="shared" si="364"/>
        <v>0</v>
      </c>
      <c r="V434" s="45">
        <f t="shared" si="366"/>
        <v>0</v>
      </c>
      <c r="W434" s="67"/>
      <c r="X434" s="68"/>
      <c r="Y434" s="68"/>
      <c r="Z434" s="68"/>
      <c r="AA434" s="415"/>
      <c r="AB434" s="79"/>
      <c r="AC434" s="79"/>
      <c r="AD434" s="79"/>
      <c r="AE434" s="79"/>
      <c r="AF434" s="79"/>
    </row>
    <row r="435" spans="1:32" s="69" customFormat="1" ht="20.25" customHeight="1">
      <c r="A435" s="393"/>
      <c r="B435" s="50" t="s">
        <v>254</v>
      </c>
      <c r="C435" s="65">
        <v>0</v>
      </c>
      <c r="D435" s="65">
        <v>0</v>
      </c>
      <c r="E435" s="83">
        <v>0</v>
      </c>
      <c r="F435" s="65">
        <v>0</v>
      </c>
      <c r="G435" s="63">
        <f t="shared" si="360"/>
        <v>0</v>
      </c>
      <c r="H435" s="64"/>
      <c r="I435" s="68"/>
      <c r="J435" s="68"/>
      <c r="K435" s="68"/>
      <c r="L435" s="65">
        <v>0</v>
      </c>
      <c r="M435" s="65">
        <v>0</v>
      </c>
      <c r="N435" s="65">
        <v>0</v>
      </c>
      <c r="O435" s="65">
        <v>0</v>
      </c>
      <c r="P435" s="66">
        <f t="shared" si="365"/>
        <v>0</v>
      </c>
      <c r="Q435" s="406"/>
      <c r="R435" s="46">
        <f t="shared" si="361"/>
        <v>0</v>
      </c>
      <c r="S435" s="28">
        <f t="shared" si="362"/>
        <v>0</v>
      </c>
      <c r="T435" s="28">
        <f t="shared" si="363"/>
        <v>0</v>
      </c>
      <c r="U435" s="28">
        <f t="shared" si="364"/>
        <v>0</v>
      </c>
      <c r="V435" s="45">
        <f t="shared" si="366"/>
        <v>0</v>
      </c>
      <c r="W435" s="67"/>
      <c r="X435" s="68"/>
      <c r="Y435" s="68"/>
      <c r="Z435" s="68"/>
      <c r="AA435" s="415"/>
      <c r="AB435" s="79"/>
      <c r="AC435" s="79"/>
      <c r="AD435" s="79"/>
      <c r="AE435" s="79"/>
      <c r="AF435" s="79"/>
    </row>
    <row r="436" spans="1:32" s="69" customFormat="1" ht="20.25" customHeight="1">
      <c r="A436" s="393"/>
      <c r="B436" s="42" t="s">
        <v>216</v>
      </c>
      <c r="C436" s="65">
        <v>0</v>
      </c>
      <c r="D436" s="65">
        <v>0</v>
      </c>
      <c r="E436" s="83">
        <v>0</v>
      </c>
      <c r="F436" s="65">
        <v>0</v>
      </c>
      <c r="G436" s="63">
        <f t="shared" si="360"/>
        <v>0</v>
      </c>
      <c r="H436" s="64"/>
      <c r="I436" s="68"/>
      <c r="J436" s="68"/>
      <c r="K436" s="68"/>
      <c r="L436" s="65">
        <v>0</v>
      </c>
      <c r="M436" s="65">
        <v>0</v>
      </c>
      <c r="N436" s="65">
        <v>0</v>
      </c>
      <c r="O436" s="65">
        <v>0</v>
      </c>
      <c r="P436" s="66">
        <f t="shared" si="365"/>
        <v>0</v>
      </c>
      <c r="Q436" s="406"/>
      <c r="R436" s="46">
        <f t="shared" si="361"/>
        <v>0</v>
      </c>
      <c r="S436" s="28">
        <f t="shared" si="362"/>
        <v>0</v>
      </c>
      <c r="T436" s="28">
        <f t="shared" si="363"/>
        <v>0</v>
      </c>
      <c r="U436" s="28">
        <f t="shared" si="364"/>
        <v>0</v>
      </c>
      <c r="V436" s="45">
        <f t="shared" si="366"/>
        <v>0</v>
      </c>
      <c r="W436" s="67"/>
      <c r="X436" s="68"/>
      <c r="Y436" s="68"/>
      <c r="Z436" s="68"/>
      <c r="AA436" s="415"/>
      <c r="AB436" s="79"/>
      <c r="AC436" s="79"/>
      <c r="AD436" s="79"/>
      <c r="AE436" s="79"/>
      <c r="AF436" s="79"/>
    </row>
    <row r="437" spans="1:32" s="69" customFormat="1" ht="20.25" customHeight="1">
      <c r="A437" s="393"/>
      <c r="B437" s="70"/>
      <c r="C437" s="65">
        <f>SUM(C417:C436)</f>
        <v>8719360.3100000005</v>
      </c>
      <c r="D437" s="65">
        <f>SUM(D417:D436)</f>
        <v>2786803.97</v>
      </c>
      <c r="E437" s="65">
        <f t="shared" ref="E437:G437" si="367">SUM(E417:E436)</f>
        <v>0</v>
      </c>
      <c r="F437" s="65">
        <f t="shared" si="367"/>
        <v>633980.72</v>
      </c>
      <c r="G437" s="65">
        <f t="shared" si="367"/>
        <v>12140145.000000002</v>
      </c>
      <c r="H437" s="66"/>
      <c r="I437" s="66"/>
      <c r="J437" s="66"/>
      <c r="K437" s="66"/>
      <c r="L437" s="66">
        <f>SUM(L417:L436)</f>
        <v>0</v>
      </c>
      <c r="M437" s="66">
        <f>SUM(M417:M436)</f>
        <v>0</v>
      </c>
      <c r="N437" s="66">
        <f>SUM(N417:N436)</f>
        <v>0</v>
      </c>
      <c r="O437" s="66">
        <f>SUM(O417:O436)</f>
        <v>0</v>
      </c>
      <c r="P437" s="66">
        <f>SUM(P417:P436)</f>
        <v>0</v>
      </c>
      <c r="Q437" s="406"/>
      <c r="R437" s="46">
        <f t="shared" si="361"/>
        <v>8719360.3100000005</v>
      </c>
      <c r="S437" s="28">
        <f t="shared" si="362"/>
        <v>2786803.97</v>
      </c>
      <c r="T437" s="28">
        <f t="shared" si="363"/>
        <v>0</v>
      </c>
      <c r="U437" s="28">
        <f t="shared" si="364"/>
        <v>633980.72</v>
      </c>
      <c r="V437" s="45">
        <f t="shared" si="366"/>
        <v>12140145.000000002</v>
      </c>
      <c r="W437" s="67"/>
      <c r="X437" s="68"/>
      <c r="Y437" s="68"/>
      <c r="Z437" s="68"/>
      <c r="AA437" s="415"/>
      <c r="AB437" s="79"/>
      <c r="AC437" s="79"/>
      <c r="AD437" s="79"/>
      <c r="AE437" s="79"/>
      <c r="AF437" s="79"/>
    </row>
    <row r="438" spans="1:32" s="69" customFormat="1">
      <c r="A438" s="393"/>
      <c r="B438" s="85"/>
      <c r="C438" s="82"/>
      <c r="D438" s="82"/>
      <c r="E438" s="86"/>
      <c r="F438" s="82"/>
      <c r="G438" s="80"/>
      <c r="H438" s="81"/>
      <c r="L438" s="82"/>
      <c r="M438" s="82"/>
      <c r="N438" s="82"/>
      <c r="O438" s="82"/>
      <c r="P438" s="80"/>
      <c r="Q438" s="407"/>
      <c r="R438" s="27">
        <f>9350829.87-631469.56</f>
        <v>8719360.3099999987</v>
      </c>
      <c r="S438" s="27">
        <f>2789315.13-2511.16</f>
        <v>2786803.9699999997</v>
      </c>
      <c r="T438" s="27">
        <v>0</v>
      </c>
      <c r="U438" s="27">
        <f>631469.56+2511.16</f>
        <v>633980.72000000009</v>
      </c>
      <c r="V438" s="29">
        <f>+R438+S438+T438+U438</f>
        <v>12140144.999999998</v>
      </c>
      <c r="AA438" s="79"/>
      <c r="AB438" s="79"/>
      <c r="AC438" s="79"/>
      <c r="AD438" s="79"/>
      <c r="AE438" s="79"/>
      <c r="AF438" s="79"/>
    </row>
    <row r="439" spans="1:32" s="69" customFormat="1" hidden="1">
      <c r="A439" s="393"/>
      <c r="B439" s="649"/>
      <c r="C439" s="649"/>
      <c r="D439" s="649"/>
      <c r="E439" s="649"/>
      <c r="F439" s="649"/>
      <c r="G439" s="649"/>
      <c r="H439" s="81"/>
      <c r="L439" s="82"/>
      <c r="M439" s="82"/>
      <c r="N439" s="82"/>
      <c r="O439" s="82"/>
      <c r="P439" s="80"/>
      <c r="Q439" s="407"/>
      <c r="R439" s="27"/>
      <c r="S439" s="27"/>
      <c r="T439" s="27"/>
      <c r="U439" s="27"/>
      <c r="V439" s="29"/>
      <c r="AA439" s="79"/>
      <c r="AB439" s="79"/>
      <c r="AC439" s="79"/>
      <c r="AD439" s="79"/>
      <c r="AE439" s="79"/>
      <c r="AF439" s="79"/>
    </row>
    <row r="440" spans="1:32" s="69" customFormat="1" hidden="1">
      <c r="A440" s="393"/>
      <c r="B440" s="70"/>
      <c r="C440" s="83"/>
      <c r="D440" s="83"/>
      <c r="E440" s="83"/>
      <c r="F440" s="83"/>
      <c r="G440" s="84"/>
      <c r="H440" s="64"/>
      <c r="I440" s="68"/>
      <c r="J440" s="68"/>
      <c r="K440" s="68"/>
      <c r="L440" s="65"/>
      <c r="M440" s="65"/>
      <c r="N440" s="65"/>
      <c r="O440" s="65"/>
      <c r="P440" s="66"/>
      <c r="Q440" s="406"/>
      <c r="R440" s="46"/>
      <c r="S440" s="28"/>
      <c r="T440" s="28"/>
      <c r="U440" s="28"/>
      <c r="V440" s="45"/>
      <c r="W440" s="67"/>
      <c r="X440" s="68"/>
      <c r="Y440" s="68"/>
      <c r="Z440" s="68"/>
      <c r="AA440" s="415"/>
      <c r="AB440" s="79"/>
      <c r="AC440" s="79"/>
      <c r="AD440" s="79"/>
      <c r="AE440" s="79"/>
      <c r="AF440" s="79"/>
    </row>
    <row r="441" spans="1:32" s="69" customFormat="1" hidden="1">
      <c r="A441" s="393"/>
      <c r="B441" s="42"/>
      <c r="C441" s="62"/>
      <c r="D441" s="62"/>
      <c r="E441" s="62"/>
      <c r="F441" s="62"/>
      <c r="G441" s="63"/>
      <c r="H441" s="64"/>
      <c r="I441" s="68"/>
      <c r="J441" s="68"/>
      <c r="K441" s="68"/>
      <c r="L441" s="65">
        <v>0</v>
      </c>
      <c r="M441" s="65">
        <v>0</v>
      </c>
      <c r="N441" s="65">
        <v>0</v>
      </c>
      <c r="O441" s="65">
        <v>0</v>
      </c>
      <c r="P441" s="66">
        <f>SUM(L441:O441)</f>
        <v>0</v>
      </c>
      <c r="Q441" s="406"/>
      <c r="R441" s="46">
        <f t="shared" ref="R441:R460" si="368">+C441+L441</f>
        <v>0</v>
      </c>
      <c r="S441" s="28">
        <f>+D441+M441</f>
        <v>0</v>
      </c>
      <c r="T441" s="28">
        <f>+E441+N441</f>
        <v>0</v>
      </c>
      <c r="U441" s="28">
        <f t="shared" ref="U441:U461" si="369">+F441+O441</f>
        <v>0</v>
      </c>
      <c r="V441" s="45">
        <f t="shared" si="366"/>
        <v>0</v>
      </c>
      <c r="W441" s="67"/>
      <c r="X441" s="68"/>
      <c r="Y441" s="68"/>
      <c r="Z441" s="68"/>
      <c r="AA441" s="415"/>
      <c r="AB441" s="79"/>
      <c r="AC441" s="79"/>
      <c r="AD441" s="79"/>
      <c r="AE441" s="79"/>
      <c r="AF441" s="79"/>
    </row>
    <row r="442" spans="1:32" s="69" customFormat="1" hidden="1">
      <c r="A442" s="393"/>
      <c r="B442" s="42"/>
      <c r="C442" s="62"/>
      <c r="D442" s="62"/>
      <c r="E442" s="62"/>
      <c r="F442" s="62"/>
      <c r="G442" s="63"/>
      <c r="H442" s="64"/>
      <c r="I442" s="68"/>
      <c r="J442" s="68"/>
      <c r="K442" s="68"/>
      <c r="L442" s="65">
        <v>0</v>
      </c>
      <c r="M442" s="65">
        <v>0</v>
      </c>
      <c r="N442" s="65">
        <v>0</v>
      </c>
      <c r="O442" s="65">
        <v>0</v>
      </c>
      <c r="P442" s="66">
        <f t="shared" ref="P442:P460" si="370">SUM(L442:O442)</f>
        <v>0</v>
      </c>
      <c r="Q442" s="406"/>
      <c r="R442" s="46">
        <f t="shared" si="368"/>
        <v>0</v>
      </c>
      <c r="S442" s="28">
        <f t="shared" ref="S442:S461" si="371">+D442+M442</f>
        <v>0</v>
      </c>
      <c r="T442" s="28">
        <f t="shared" ref="T442:T461" si="372">+E442+N442</f>
        <v>0</v>
      </c>
      <c r="U442" s="28">
        <f t="shared" si="369"/>
        <v>0</v>
      </c>
      <c r="V442" s="45">
        <f t="shared" si="366"/>
        <v>0</v>
      </c>
      <c r="W442" s="67"/>
      <c r="X442" s="68"/>
      <c r="Y442" s="68"/>
      <c r="Z442" s="68"/>
      <c r="AA442" s="415"/>
      <c r="AB442" s="79"/>
      <c r="AC442" s="79"/>
      <c r="AD442" s="79"/>
      <c r="AE442" s="79"/>
      <c r="AF442" s="79"/>
    </row>
    <row r="443" spans="1:32" s="69" customFormat="1" hidden="1">
      <c r="A443" s="393"/>
      <c r="B443" s="70"/>
      <c r="C443" s="62"/>
      <c r="D443" s="62"/>
      <c r="E443" s="62"/>
      <c r="F443" s="62"/>
      <c r="G443" s="63"/>
      <c r="H443" s="64"/>
      <c r="I443" s="68"/>
      <c r="J443" s="68"/>
      <c r="K443" s="68"/>
      <c r="L443" s="65">
        <v>0</v>
      </c>
      <c r="M443" s="65">
        <v>0</v>
      </c>
      <c r="N443" s="65">
        <v>0</v>
      </c>
      <c r="O443" s="65">
        <v>0</v>
      </c>
      <c r="P443" s="66">
        <f t="shared" si="370"/>
        <v>0</v>
      </c>
      <c r="Q443" s="406"/>
      <c r="R443" s="46">
        <f t="shared" si="368"/>
        <v>0</v>
      </c>
      <c r="S443" s="28">
        <f t="shared" si="371"/>
        <v>0</v>
      </c>
      <c r="T443" s="28">
        <f t="shared" si="372"/>
        <v>0</v>
      </c>
      <c r="U443" s="28">
        <f t="shared" si="369"/>
        <v>0</v>
      </c>
      <c r="V443" s="45">
        <f t="shared" si="366"/>
        <v>0</v>
      </c>
      <c r="W443" s="67"/>
      <c r="X443" s="68"/>
      <c r="Y443" s="68"/>
      <c r="Z443" s="68"/>
      <c r="AA443" s="415"/>
      <c r="AB443" s="79"/>
      <c r="AC443" s="79"/>
      <c r="AD443" s="79"/>
      <c r="AE443" s="79"/>
      <c r="AF443" s="79"/>
    </row>
    <row r="444" spans="1:32" s="69" customFormat="1" hidden="1">
      <c r="A444" s="393"/>
      <c r="B444" s="70"/>
      <c r="C444" s="62"/>
      <c r="D444" s="62"/>
      <c r="E444" s="62"/>
      <c r="F444" s="62"/>
      <c r="G444" s="63"/>
      <c r="H444" s="64"/>
      <c r="I444" s="68"/>
      <c r="J444" s="68"/>
      <c r="K444" s="68"/>
      <c r="L444" s="65">
        <v>0</v>
      </c>
      <c r="M444" s="65">
        <v>0</v>
      </c>
      <c r="N444" s="65">
        <v>0</v>
      </c>
      <c r="O444" s="65">
        <v>0</v>
      </c>
      <c r="P444" s="66">
        <f t="shared" si="370"/>
        <v>0</v>
      </c>
      <c r="Q444" s="406"/>
      <c r="R444" s="46">
        <f t="shared" si="368"/>
        <v>0</v>
      </c>
      <c r="S444" s="28">
        <f t="shared" si="371"/>
        <v>0</v>
      </c>
      <c r="T444" s="28">
        <f t="shared" si="372"/>
        <v>0</v>
      </c>
      <c r="U444" s="28">
        <f t="shared" si="369"/>
        <v>0</v>
      </c>
      <c r="V444" s="45">
        <f t="shared" si="366"/>
        <v>0</v>
      </c>
      <c r="W444" s="67"/>
      <c r="X444" s="68"/>
      <c r="Y444" s="68"/>
      <c r="Z444" s="68"/>
      <c r="AA444" s="415"/>
      <c r="AB444" s="79"/>
      <c r="AC444" s="79"/>
      <c r="AD444" s="79"/>
      <c r="AE444" s="79"/>
      <c r="AF444" s="79"/>
    </row>
    <row r="445" spans="1:32" s="69" customFormat="1" hidden="1">
      <c r="A445" s="393"/>
      <c r="B445" s="42"/>
      <c r="C445" s="62"/>
      <c r="D445" s="62"/>
      <c r="E445" s="62"/>
      <c r="F445" s="62"/>
      <c r="G445" s="63"/>
      <c r="H445" s="64"/>
      <c r="I445" s="68"/>
      <c r="J445" s="68"/>
      <c r="K445" s="68"/>
      <c r="L445" s="65">
        <v>0</v>
      </c>
      <c r="M445" s="65">
        <v>0</v>
      </c>
      <c r="N445" s="65">
        <v>0</v>
      </c>
      <c r="O445" s="65">
        <v>0</v>
      </c>
      <c r="P445" s="66">
        <f t="shared" si="370"/>
        <v>0</v>
      </c>
      <c r="Q445" s="406"/>
      <c r="R445" s="46">
        <f t="shared" si="368"/>
        <v>0</v>
      </c>
      <c r="S445" s="28">
        <f t="shared" si="371"/>
        <v>0</v>
      </c>
      <c r="T445" s="28">
        <f t="shared" si="372"/>
        <v>0</v>
      </c>
      <c r="U445" s="28">
        <f t="shared" si="369"/>
        <v>0</v>
      </c>
      <c r="V445" s="45">
        <f t="shared" si="366"/>
        <v>0</v>
      </c>
      <c r="W445" s="67"/>
      <c r="X445" s="68"/>
      <c r="Y445" s="68"/>
      <c r="Z445" s="68"/>
      <c r="AA445" s="415"/>
      <c r="AB445" s="79"/>
      <c r="AC445" s="79"/>
      <c r="AD445" s="79"/>
      <c r="AE445" s="79"/>
      <c r="AF445" s="79"/>
    </row>
    <row r="446" spans="1:32" s="69" customFormat="1" hidden="1">
      <c r="A446" s="393"/>
      <c r="B446" s="42"/>
      <c r="C446" s="62"/>
      <c r="D446" s="62"/>
      <c r="E446" s="62"/>
      <c r="F446" s="62"/>
      <c r="G446" s="63"/>
      <c r="H446" s="64"/>
      <c r="I446" s="68"/>
      <c r="J446" s="68"/>
      <c r="K446" s="68"/>
      <c r="L446" s="65">
        <v>0</v>
      </c>
      <c r="M446" s="65">
        <v>0</v>
      </c>
      <c r="N446" s="65">
        <v>0</v>
      </c>
      <c r="O446" s="65">
        <v>0</v>
      </c>
      <c r="P446" s="66">
        <f t="shared" si="370"/>
        <v>0</v>
      </c>
      <c r="Q446" s="406"/>
      <c r="R446" s="46">
        <f t="shared" si="368"/>
        <v>0</v>
      </c>
      <c r="S446" s="28">
        <f t="shared" si="371"/>
        <v>0</v>
      </c>
      <c r="T446" s="28">
        <f t="shared" si="372"/>
        <v>0</v>
      </c>
      <c r="U446" s="28">
        <f t="shared" si="369"/>
        <v>0</v>
      </c>
      <c r="V446" s="45">
        <f t="shared" si="366"/>
        <v>0</v>
      </c>
      <c r="W446" s="67"/>
      <c r="X446" s="68"/>
      <c r="Y446" s="68"/>
      <c r="Z446" s="68"/>
      <c r="AA446" s="415"/>
      <c r="AB446" s="79"/>
      <c r="AC446" s="79"/>
      <c r="AD446" s="79"/>
      <c r="AE446" s="79"/>
      <c r="AF446" s="79"/>
    </row>
    <row r="447" spans="1:32" s="69" customFormat="1" hidden="1">
      <c r="A447" s="393"/>
      <c r="B447" s="50"/>
      <c r="C447" s="62"/>
      <c r="D447" s="62"/>
      <c r="E447" s="62"/>
      <c r="F447" s="62"/>
      <c r="G447" s="63"/>
      <c r="H447" s="64"/>
      <c r="I447" s="68"/>
      <c r="J447" s="68"/>
      <c r="K447" s="68"/>
      <c r="L447" s="65">
        <v>0</v>
      </c>
      <c r="M447" s="65">
        <v>0</v>
      </c>
      <c r="N447" s="65">
        <v>0</v>
      </c>
      <c r="O447" s="65">
        <v>0</v>
      </c>
      <c r="P447" s="66">
        <f t="shared" si="370"/>
        <v>0</v>
      </c>
      <c r="Q447" s="406"/>
      <c r="R447" s="46">
        <f t="shared" si="368"/>
        <v>0</v>
      </c>
      <c r="S447" s="28">
        <f t="shared" si="371"/>
        <v>0</v>
      </c>
      <c r="T447" s="28">
        <f t="shared" si="372"/>
        <v>0</v>
      </c>
      <c r="U447" s="28">
        <f t="shared" si="369"/>
        <v>0</v>
      </c>
      <c r="V447" s="45">
        <f t="shared" si="366"/>
        <v>0</v>
      </c>
      <c r="W447" s="67"/>
      <c r="X447" s="68"/>
      <c r="Y447" s="68"/>
      <c r="Z447" s="68"/>
      <c r="AA447" s="415"/>
      <c r="AB447" s="79"/>
      <c r="AC447" s="79"/>
      <c r="AD447" s="79"/>
      <c r="AE447" s="79"/>
      <c r="AF447" s="79"/>
    </row>
    <row r="448" spans="1:32" s="69" customFormat="1" hidden="1">
      <c r="A448" s="393"/>
      <c r="B448" s="50"/>
      <c r="C448" s="62"/>
      <c r="D448" s="62"/>
      <c r="E448" s="62"/>
      <c r="F448" s="62"/>
      <c r="G448" s="63"/>
      <c r="H448" s="64"/>
      <c r="I448" s="68"/>
      <c r="J448" s="68"/>
      <c r="K448" s="68"/>
      <c r="L448" s="65">
        <v>0</v>
      </c>
      <c r="M448" s="65">
        <v>0</v>
      </c>
      <c r="N448" s="65">
        <v>0</v>
      </c>
      <c r="O448" s="65">
        <v>0</v>
      </c>
      <c r="P448" s="66">
        <f t="shared" si="370"/>
        <v>0</v>
      </c>
      <c r="Q448" s="406"/>
      <c r="R448" s="46">
        <f t="shared" si="368"/>
        <v>0</v>
      </c>
      <c r="S448" s="28">
        <f t="shared" si="371"/>
        <v>0</v>
      </c>
      <c r="T448" s="28">
        <f t="shared" si="372"/>
        <v>0</v>
      </c>
      <c r="U448" s="28">
        <f t="shared" si="369"/>
        <v>0</v>
      </c>
      <c r="V448" s="45">
        <f t="shared" si="366"/>
        <v>0</v>
      </c>
      <c r="W448" s="67"/>
      <c r="X448" s="68"/>
      <c r="Y448" s="68"/>
      <c r="Z448" s="68"/>
      <c r="AA448" s="415"/>
      <c r="AB448" s="79"/>
      <c r="AC448" s="79"/>
      <c r="AD448" s="79"/>
      <c r="AE448" s="79"/>
      <c r="AF448" s="79"/>
    </row>
    <row r="449" spans="1:32" s="69" customFormat="1" hidden="1">
      <c r="A449" s="393"/>
      <c r="B449" s="50"/>
      <c r="C449" s="62"/>
      <c r="D449" s="62"/>
      <c r="E449" s="62"/>
      <c r="F449" s="62"/>
      <c r="G449" s="63"/>
      <c r="H449" s="64"/>
      <c r="I449" s="68"/>
      <c r="J449" s="68"/>
      <c r="K449" s="68"/>
      <c r="L449" s="65">
        <v>0</v>
      </c>
      <c r="M449" s="65">
        <v>0</v>
      </c>
      <c r="N449" s="65">
        <v>0</v>
      </c>
      <c r="O449" s="65">
        <v>0</v>
      </c>
      <c r="P449" s="66">
        <f t="shared" si="370"/>
        <v>0</v>
      </c>
      <c r="Q449" s="406"/>
      <c r="R449" s="46">
        <f t="shared" si="368"/>
        <v>0</v>
      </c>
      <c r="S449" s="28">
        <f t="shared" si="371"/>
        <v>0</v>
      </c>
      <c r="T449" s="28">
        <f t="shared" si="372"/>
        <v>0</v>
      </c>
      <c r="U449" s="28">
        <f t="shared" si="369"/>
        <v>0</v>
      </c>
      <c r="V449" s="45">
        <f t="shared" si="366"/>
        <v>0</v>
      </c>
      <c r="W449" s="67"/>
      <c r="X449" s="68"/>
      <c r="Y449" s="68"/>
      <c r="Z449" s="68"/>
      <c r="AA449" s="415"/>
      <c r="AB449" s="79"/>
      <c r="AC449" s="79"/>
      <c r="AD449" s="79"/>
      <c r="AE449" s="79"/>
      <c r="AF449" s="79"/>
    </row>
    <row r="450" spans="1:32" s="69" customFormat="1" hidden="1">
      <c r="A450" s="393"/>
      <c r="B450" s="50"/>
      <c r="C450" s="62"/>
      <c r="D450" s="62"/>
      <c r="E450" s="62"/>
      <c r="F450" s="62"/>
      <c r="G450" s="63"/>
      <c r="H450" s="64"/>
      <c r="I450" s="68"/>
      <c r="J450" s="68"/>
      <c r="K450" s="68"/>
      <c r="L450" s="65">
        <v>0</v>
      </c>
      <c r="M450" s="65">
        <v>0</v>
      </c>
      <c r="N450" s="65">
        <v>0</v>
      </c>
      <c r="O450" s="65">
        <v>0</v>
      </c>
      <c r="P450" s="66">
        <f t="shared" si="370"/>
        <v>0</v>
      </c>
      <c r="Q450" s="406"/>
      <c r="R450" s="46">
        <f t="shared" si="368"/>
        <v>0</v>
      </c>
      <c r="S450" s="28">
        <f t="shared" si="371"/>
        <v>0</v>
      </c>
      <c r="T450" s="28">
        <f t="shared" si="372"/>
        <v>0</v>
      </c>
      <c r="U450" s="28">
        <f t="shared" si="369"/>
        <v>0</v>
      </c>
      <c r="V450" s="45">
        <f t="shared" si="366"/>
        <v>0</v>
      </c>
      <c r="W450" s="67"/>
      <c r="X450" s="68"/>
      <c r="Y450" s="68"/>
      <c r="Z450" s="68"/>
      <c r="AA450" s="415"/>
      <c r="AB450" s="79"/>
      <c r="AC450" s="79"/>
      <c r="AD450" s="79"/>
      <c r="AE450" s="79"/>
      <c r="AF450" s="79"/>
    </row>
    <row r="451" spans="1:32" hidden="1">
      <c r="B451" s="50"/>
      <c r="C451" s="62"/>
      <c r="D451" s="62"/>
      <c r="E451" s="62"/>
      <c r="F451" s="62"/>
      <c r="G451" s="63"/>
      <c r="H451" s="43"/>
      <c r="I451" s="44"/>
      <c r="J451" s="44"/>
      <c r="K451" s="44"/>
      <c r="L451" s="65">
        <v>0</v>
      </c>
      <c r="M451" s="65">
        <v>0</v>
      </c>
      <c r="N451" s="65">
        <v>0</v>
      </c>
      <c r="O451" s="65">
        <v>0</v>
      </c>
      <c r="P451" s="66">
        <f t="shared" si="370"/>
        <v>0</v>
      </c>
      <c r="Q451" s="406"/>
      <c r="R451" s="46">
        <f t="shared" si="368"/>
        <v>0</v>
      </c>
      <c r="S451" s="28">
        <f t="shared" si="371"/>
        <v>0</v>
      </c>
      <c r="T451" s="28">
        <f t="shared" si="372"/>
        <v>0</v>
      </c>
      <c r="U451" s="28">
        <f t="shared" si="369"/>
        <v>0</v>
      </c>
      <c r="V451" s="45">
        <f t="shared" si="366"/>
        <v>0</v>
      </c>
      <c r="W451" s="56"/>
      <c r="X451" s="44"/>
      <c r="Y451" s="44"/>
      <c r="Z451" s="44"/>
      <c r="AA451" s="414"/>
      <c r="AB451" s="194"/>
      <c r="AC451" s="194"/>
      <c r="AD451" s="194"/>
      <c r="AE451" s="194"/>
      <c r="AF451" s="194"/>
    </row>
    <row r="452" spans="1:32" hidden="1">
      <c r="B452" s="50"/>
      <c r="C452" s="62"/>
      <c r="D452" s="62"/>
      <c r="E452" s="62"/>
      <c r="F452" s="62"/>
      <c r="G452" s="63"/>
      <c r="H452" s="43"/>
      <c r="I452" s="44"/>
      <c r="J452" s="44"/>
      <c r="K452" s="44"/>
      <c r="L452" s="65">
        <v>0</v>
      </c>
      <c r="M452" s="65">
        <v>0</v>
      </c>
      <c r="N452" s="65">
        <v>0</v>
      </c>
      <c r="O452" s="65">
        <v>0</v>
      </c>
      <c r="P452" s="66">
        <f t="shared" si="370"/>
        <v>0</v>
      </c>
      <c r="Q452" s="406"/>
      <c r="R452" s="46">
        <f t="shared" si="368"/>
        <v>0</v>
      </c>
      <c r="S452" s="28">
        <f t="shared" si="371"/>
        <v>0</v>
      </c>
      <c r="T452" s="28">
        <f t="shared" si="372"/>
        <v>0</v>
      </c>
      <c r="U452" s="28">
        <f t="shared" si="369"/>
        <v>0</v>
      </c>
      <c r="V452" s="45">
        <f t="shared" si="366"/>
        <v>0</v>
      </c>
      <c r="W452" s="56"/>
      <c r="X452" s="44"/>
      <c r="Y452" s="44"/>
      <c r="Z452" s="44"/>
      <c r="AA452" s="414"/>
      <c r="AB452" s="194"/>
      <c r="AC452" s="194"/>
      <c r="AD452" s="194"/>
      <c r="AE452" s="194"/>
      <c r="AF452" s="194"/>
    </row>
    <row r="453" spans="1:32" hidden="1">
      <c r="B453" s="50"/>
      <c r="C453" s="62"/>
      <c r="D453" s="62"/>
      <c r="E453" s="62"/>
      <c r="F453" s="62"/>
      <c r="G453" s="63"/>
      <c r="H453" s="43"/>
      <c r="I453" s="44"/>
      <c r="J453" s="44"/>
      <c r="K453" s="44"/>
      <c r="L453" s="65">
        <v>0</v>
      </c>
      <c r="M453" s="65">
        <v>0</v>
      </c>
      <c r="N453" s="65">
        <v>0</v>
      </c>
      <c r="O453" s="65">
        <v>0</v>
      </c>
      <c r="P453" s="66">
        <f t="shared" si="370"/>
        <v>0</v>
      </c>
      <c r="Q453" s="406"/>
      <c r="R453" s="46">
        <f t="shared" si="368"/>
        <v>0</v>
      </c>
      <c r="S453" s="28">
        <f t="shared" si="371"/>
        <v>0</v>
      </c>
      <c r="T453" s="28">
        <f t="shared" si="372"/>
        <v>0</v>
      </c>
      <c r="U453" s="28">
        <f t="shared" si="369"/>
        <v>0</v>
      </c>
      <c r="V453" s="45">
        <f t="shared" si="366"/>
        <v>0</v>
      </c>
      <c r="W453" s="56"/>
      <c r="X453" s="44"/>
      <c r="Y453" s="44"/>
      <c r="Z453" s="44"/>
      <c r="AA453" s="414"/>
      <c r="AB453" s="194"/>
      <c r="AC453" s="194"/>
      <c r="AD453" s="194"/>
      <c r="AE453" s="194"/>
      <c r="AF453" s="194"/>
    </row>
    <row r="454" spans="1:32" hidden="1">
      <c r="B454" s="50"/>
      <c r="C454" s="62"/>
      <c r="D454" s="62"/>
      <c r="E454" s="62"/>
      <c r="F454" s="62"/>
      <c r="G454" s="63"/>
      <c r="H454" s="43"/>
      <c r="I454" s="44"/>
      <c r="J454" s="44"/>
      <c r="K454" s="44"/>
      <c r="L454" s="65">
        <v>0</v>
      </c>
      <c r="M454" s="65">
        <v>0</v>
      </c>
      <c r="N454" s="65">
        <v>0</v>
      </c>
      <c r="O454" s="65">
        <v>0</v>
      </c>
      <c r="P454" s="66">
        <f t="shared" si="370"/>
        <v>0</v>
      </c>
      <c r="Q454" s="406"/>
      <c r="R454" s="46">
        <f t="shared" si="368"/>
        <v>0</v>
      </c>
      <c r="S454" s="28">
        <f t="shared" si="371"/>
        <v>0</v>
      </c>
      <c r="T454" s="28">
        <f t="shared" si="372"/>
        <v>0</v>
      </c>
      <c r="U454" s="28">
        <f t="shared" si="369"/>
        <v>0</v>
      </c>
      <c r="V454" s="45">
        <f t="shared" si="366"/>
        <v>0</v>
      </c>
      <c r="W454" s="56"/>
      <c r="X454" s="44"/>
      <c r="Y454" s="44"/>
      <c r="Z454" s="44"/>
      <c r="AA454" s="414"/>
      <c r="AB454" s="194"/>
      <c r="AC454" s="194"/>
      <c r="AD454" s="194"/>
      <c r="AE454" s="194"/>
      <c r="AF454" s="194"/>
    </row>
    <row r="455" spans="1:32" hidden="1">
      <c r="B455" s="50"/>
      <c r="C455" s="62"/>
      <c r="D455" s="62"/>
      <c r="E455" s="62"/>
      <c r="F455" s="62"/>
      <c r="G455" s="63"/>
      <c r="H455" s="43"/>
      <c r="I455" s="44"/>
      <c r="J455" s="44"/>
      <c r="K455" s="44"/>
      <c r="L455" s="65">
        <v>0</v>
      </c>
      <c r="M455" s="65">
        <v>0</v>
      </c>
      <c r="N455" s="65">
        <v>0</v>
      </c>
      <c r="O455" s="65">
        <v>0</v>
      </c>
      <c r="P455" s="66">
        <f t="shared" si="370"/>
        <v>0</v>
      </c>
      <c r="Q455" s="406"/>
      <c r="R455" s="46">
        <f t="shared" si="368"/>
        <v>0</v>
      </c>
      <c r="S455" s="28">
        <f t="shared" si="371"/>
        <v>0</v>
      </c>
      <c r="T455" s="28">
        <f t="shared" si="372"/>
        <v>0</v>
      </c>
      <c r="U455" s="28">
        <f t="shared" si="369"/>
        <v>0</v>
      </c>
      <c r="V455" s="45">
        <f t="shared" si="366"/>
        <v>0</v>
      </c>
      <c r="W455" s="56"/>
      <c r="X455" s="44"/>
      <c r="Y455" s="44"/>
      <c r="Z455" s="44"/>
      <c r="AA455" s="414"/>
      <c r="AB455" s="194"/>
      <c r="AC455" s="194"/>
      <c r="AD455" s="194"/>
      <c r="AE455" s="194"/>
      <c r="AF455" s="194"/>
    </row>
    <row r="456" spans="1:32" hidden="1">
      <c r="B456" s="50"/>
      <c r="C456" s="62"/>
      <c r="D456" s="62"/>
      <c r="E456" s="62"/>
      <c r="F456" s="62"/>
      <c r="G456" s="63"/>
      <c r="H456" s="43"/>
      <c r="I456" s="44"/>
      <c r="J456" s="44"/>
      <c r="K456" s="44"/>
      <c r="L456" s="65">
        <v>0</v>
      </c>
      <c r="M456" s="65">
        <v>0</v>
      </c>
      <c r="N456" s="65">
        <v>0</v>
      </c>
      <c r="O456" s="65">
        <v>0</v>
      </c>
      <c r="P456" s="66">
        <f t="shared" si="370"/>
        <v>0</v>
      </c>
      <c r="Q456" s="406"/>
      <c r="R456" s="46">
        <f t="shared" si="368"/>
        <v>0</v>
      </c>
      <c r="S456" s="28">
        <f t="shared" si="371"/>
        <v>0</v>
      </c>
      <c r="T456" s="28">
        <f t="shared" si="372"/>
        <v>0</v>
      </c>
      <c r="U456" s="28">
        <f t="shared" si="369"/>
        <v>0</v>
      </c>
      <c r="V456" s="45">
        <f t="shared" si="366"/>
        <v>0</v>
      </c>
      <c r="W456" s="56"/>
      <c r="X456" s="44"/>
      <c r="Y456" s="44"/>
      <c r="Z456" s="44"/>
      <c r="AA456" s="414"/>
      <c r="AB456" s="194"/>
      <c r="AC456" s="194"/>
      <c r="AD456" s="194"/>
      <c r="AE456" s="194"/>
      <c r="AF456" s="194"/>
    </row>
    <row r="457" spans="1:32" hidden="1">
      <c r="B457" s="50"/>
      <c r="C457" s="62"/>
      <c r="D457" s="62"/>
      <c r="E457" s="62"/>
      <c r="F457" s="62"/>
      <c r="G457" s="63"/>
      <c r="H457" s="43"/>
      <c r="I457" s="44"/>
      <c r="J457" s="44"/>
      <c r="K457" s="44"/>
      <c r="L457" s="65">
        <v>0</v>
      </c>
      <c r="M457" s="65">
        <v>0</v>
      </c>
      <c r="N457" s="65">
        <v>0</v>
      </c>
      <c r="O457" s="65">
        <v>0</v>
      </c>
      <c r="P457" s="66">
        <f t="shared" si="370"/>
        <v>0</v>
      </c>
      <c r="Q457" s="406"/>
      <c r="R457" s="46">
        <f t="shared" si="368"/>
        <v>0</v>
      </c>
      <c r="S457" s="28">
        <f t="shared" si="371"/>
        <v>0</v>
      </c>
      <c r="T457" s="28">
        <f t="shared" si="372"/>
        <v>0</v>
      </c>
      <c r="U457" s="28">
        <f t="shared" si="369"/>
        <v>0</v>
      </c>
      <c r="V457" s="45">
        <f t="shared" si="366"/>
        <v>0</v>
      </c>
      <c r="W457" s="56"/>
      <c r="X457" s="44"/>
      <c r="Y457" s="44"/>
      <c r="Z457" s="44"/>
      <c r="AA457" s="414"/>
      <c r="AB457" s="194"/>
      <c r="AC457" s="194"/>
      <c r="AD457" s="194"/>
      <c r="AE457" s="194"/>
      <c r="AF457" s="194"/>
    </row>
    <row r="458" spans="1:32" hidden="1">
      <c r="B458" s="50"/>
      <c r="C458" s="62"/>
      <c r="D458" s="62"/>
      <c r="E458" s="62"/>
      <c r="F458" s="62"/>
      <c r="G458" s="63"/>
      <c r="H458" s="43"/>
      <c r="I458" s="44"/>
      <c r="J458" s="44"/>
      <c r="K458" s="44"/>
      <c r="L458" s="65">
        <v>0</v>
      </c>
      <c r="M458" s="65">
        <v>0</v>
      </c>
      <c r="N458" s="65">
        <v>0</v>
      </c>
      <c r="O458" s="65">
        <v>0</v>
      </c>
      <c r="P458" s="66">
        <f t="shared" si="370"/>
        <v>0</v>
      </c>
      <c r="Q458" s="406"/>
      <c r="R458" s="46">
        <f t="shared" si="368"/>
        <v>0</v>
      </c>
      <c r="S458" s="28">
        <f t="shared" si="371"/>
        <v>0</v>
      </c>
      <c r="T458" s="28">
        <f t="shared" si="372"/>
        <v>0</v>
      </c>
      <c r="U458" s="28">
        <f t="shared" si="369"/>
        <v>0</v>
      </c>
      <c r="V458" s="45">
        <f t="shared" si="366"/>
        <v>0</v>
      </c>
      <c r="W458" s="56"/>
      <c r="X458" s="44"/>
      <c r="Y458" s="44"/>
      <c r="Z458" s="44"/>
      <c r="AA458" s="414"/>
      <c r="AB458" s="194"/>
      <c r="AC458" s="194"/>
      <c r="AD458" s="194"/>
      <c r="AE458" s="194"/>
      <c r="AF458" s="194"/>
    </row>
    <row r="459" spans="1:32" hidden="1">
      <c r="B459" s="50"/>
      <c r="C459" s="62"/>
      <c r="D459" s="62"/>
      <c r="E459" s="62"/>
      <c r="F459" s="62"/>
      <c r="G459" s="63"/>
      <c r="H459" s="43"/>
      <c r="I459" s="44"/>
      <c r="J459" s="44"/>
      <c r="K459" s="44"/>
      <c r="L459" s="65">
        <v>0</v>
      </c>
      <c r="M459" s="65">
        <v>0</v>
      </c>
      <c r="N459" s="65">
        <v>0</v>
      </c>
      <c r="O459" s="65">
        <v>0</v>
      </c>
      <c r="P459" s="66">
        <f t="shared" si="370"/>
        <v>0</v>
      </c>
      <c r="Q459" s="406"/>
      <c r="R459" s="46">
        <f t="shared" si="368"/>
        <v>0</v>
      </c>
      <c r="S459" s="28">
        <f t="shared" si="371"/>
        <v>0</v>
      </c>
      <c r="T459" s="28">
        <f t="shared" si="372"/>
        <v>0</v>
      </c>
      <c r="U459" s="28">
        <f t="shared" si="369"/>
        <v>0</v>
      </c>
      <c r="V459" s="45">
        <f t="shared" si="366"/>
        <v>0</v>
      </c>
      <c r="W459" s="56"/>
      <c r="X459" s="44"/>
      <c r="Y459" s="44"/>
      <c r="Z459" s="44"/>
      <c r="AA459" s="414"/>
      <c r="AB459" s="194"/>
      <c r="AC459" s="194"/>
      <c r="AD459" s="194"/>
      <c r="AE459" s="194"/>
      <c r="AF459" s="194"/>
    </row>
    <row r="460" spans="1:32" hidden="1">
      <c r="B460" s="42"/>
      <c r="C460" s="62"/>
      <c r="D460" s="62"/>
      <c r="E460" s="62"/>
      <c r="F460" s="62"/>
      <c r="G460" s="63"/>
      <c r="H460" s="43"/>
      <c r="I460" s="44"/>
      <c r="J460" s="44"/>
      <c r="K460" s="44"/>
      <c r="L460" s="65">
        <v>0</v>
      </c>
      <c r="M460" s="65">
        <v>0</v>
      </c>
      <c r="N460" s="65">
        <v>0</v>
      </c>
      <c r="O460" s="65">
        <v>0</v>
      </c>
      <c r="P460" s="66">
        <f t="shared" si="370"/>
        <v>0</v>
      </c>
      <c r="Q460" s="406"/>
      <c r="R460" s="46">
        <f t="shared" si="368"/>
        <v>0</v>
      </c>
      <c r="S460" s="28">
        <f t="shared" si="371"/>
        <v>0</v>
      </c>
      <c r="T460" s="28">
        <f t="shared" si="372"/>
        <v>0</v>
      </c>
      <c r="U460" s="28">
        <f t="shared" si="369"/>
        <v>0</v>
      </c>
      <c r="V460" s="45">
        <f t="shared" si="366"/>
        <v>0</v>
      </c>
      <c r="W460" s="56"/>
      <c r="X460" s="44"/>
      <c r="Y460" s="44"/>
      <c r="Z460" s="44"/>
      <c r="AA460" s="414"/>
      <c r="AB460" s="194"/>
      <c r="AC460" s="194"/>
      <c r="AD460" s="194"/>
      <c r="AE460" s="194"/>
      <c r="AF460" s="194"/>
    </row>
    <row r="461" spans="1:32" s="69" customFormat="1" hidden="1">
      <c r="A461" s="393"/>
      <c r="B461" s="70"/>
      <c r="C461" s="65"/>
      <c r="D461" s="65"/>
      <c r="E461" s="83"/>
      <c r="F461" s="65"/>
      <c r="G461" s="66"/>
      <c r="H461" s="66">
        <f>SUM(D461:G461)</f>
        <v>0</v>
      </c>
      <c r="I461" s="66">
        <f>SUM(E461:H461)</f>
        <v>0</v>
      </c>
      <c r="J461" s="66">
        <f>SUM(F461:I461)</f>
        <v>0</v>
      </c>
      <c r="K461" s="66">
        <f>SUM(G461:J461)</f>
        <v>0</v>
      </c>
      <c r="L461" s="66">
        <f>SUM(L441:L460)</f>
        <v>0</v>
      </c>
      <c r="M461" s="66">
        <f>SUM(M441:M460)</f>
        <v>0</v>
      </c>
      <c r="N461" s="66">
        <f>SUM(N441:N460)</f>
        <v>0</v>
      </c>
      <c r="O461" s="66">
        <f>SUM(O441:O460)</f>
        <v>0</v>
      </c>
      <c r="P461" s="66">
        <f>SUM(P441:P460)</f>
        <v>0</v>
      </c>
      <c r="Q461" s="406"/>
      <c r="R461" s="46">
        <f>+C461+L461</f>
        <v>0</v>
      </c>
      <c r="S461" s="28">
        <f t="shared" si="371"/>
        <v>0</v>
      </c>
      <c r="T461" s="28">
        <f t="shared" si="372"/>
        <v>0</v>
      </c>
      <c r="U461" s="28">
        <f t="shared" si="369"/>
        <v>0</v>
      </c>
      <c r="V461" s="45">
        <f t="shared" si="366"/>
        <v>0</v>
      </c>
      <c r="W461" s="67"/>
      <c r="X461" s="68"/>
      <c r="Y461" s="68"/>
      <c r="Z461" s="68"/>
      <c r="AA461" s="415"/>
      <c r="AB461" s="79"/>
      <c r="AC461" s="79"/>
      <c r="AD461" s="79"/>
      <c r="AE461" s="79"/>
      <c r="AF461" s="79"/>
    </row>
    <row r="462" spans="1:32">
      <c r="C462" s="27"/>
      <c r="D462" s="27"/>
      <c r="AA462" s="194"/>
      <c r="AB462" s="194"/>
      <c r="AC462" s="194"/>
      <c r="AD462" s="194"/>
      <c r="AE462" s="194"/>
      <c r="AF462" s="194"/>
    </row>
    <row r="463" spans="1:32">
      <c r="B463" s="649" t="s">
        <v>369</v>
      </c>
      <c r="C463" s="649"/>
      <c r="D463" s="649"/>
      <c r="E463" s="649"/>
      <c r="F463" s="649"/>
      <c r="G463" s="649"/>
      <c r="AA463" s="194"/>
      <c r="AB463" s="194"/>
      <c r="AC463" s="194"/>
      <c r="AD463" s="194"/>
      <c r="AE463" s="194"/>
      <c r="AF463" s="194"/>
    </row>
    <row r="464" spans="1:32">
      <c r="B464" s="70" t="s">
        <v>9</v>
      </c>
      <c r="C464" s="83" t="s">
        <v>206</v>
      </c>
      <c r="D464" s="83" t="s">
        <v>207</v>
      </c>
      <c r="E464" s="83" t="s">
        <v>10</v>
      </c>
      <c r="F464" s="83" t="s">
        <v>11</v>
      </c>
      <c r="G464" s="372" t="s">
        <v>208</v>
      </c>
      <c r="H464" s="303"/>
      <c r="I464" s="44"/>
      <c r="J464" s="44"/>
      <c r="K464" s="44"/>
      <c r="L464" s="28"/>
      <c r="M464" s="28"/>
      <c r="N464" s="28"/>
      <c r="O464" s="28"/>
      <c r="P464" s="28"/>
      <c r="Q464" s="402"/>
      <c r="R464" s="44"/>
      <c r="S464" s="44"/>
      <c r="T464" s="44"/>
      <c r="U464" s="44"/>
      <c r="V464" s="57"/>
      <c r="AA464" s="194"/>
      <c r="AB464" s="194"/>
      <c r="AC464" s="194"/>
      <c r="AD464" s="194"/>
      <c r="AE464" s="194"/>
      <c r="AF464" s="194"/>
    </row>
    <row r="465" spans="2:32">
      <c r="B465" s="42" t="s">
        <v>237</v>
      </c>
      <c r="C465" s="62">
        <f>+C272+C321+C346+C370+C393+C417</f>
        <v>111810620.02000001</v>
      </c>
      <c r="D465" s="62">
        <f t="shared" ref="D465:E465" si="373">+D272+D321+D346+D370+D393+D417</f>
        <v>19061351.859999999</v>
      </c>
      <c r="E465" s="62">
        <f t="shared" si="373"/>
        <v>0</v>
      </c>
      <c r="F465" s="62">
        <f>+F272+F321+F346+F370+F393+F417</f>
        <v>0</v>
      </c>
      <c r="G465" s="231">
        <f>SUM(C465:F465)</f>
        <v>130871971.88000001</v>
      </c>
      <c r="H465" s="303"/>
      <c r="I465" s="44"/>
      <c r="J465" s="44"/>
      <c r="K465" s="44"/>
      <c r="L465" s="28">
        <f t="shared" ref="L465:O484" si="374">+L272+L297+L321+L346+L370+L393+L417</f>
        <v>0</v>
      </c>
      <c r="M465" s="28">
        <f t="shared" si="374"/>
        <v>0</v>
      </c>
      <c r="N465" s="28">
        <f t="shared" si="374"/>
        <v>0</v>
      </c>
      <c r="O465" s="28">
        <f t="shared" si="374"/>
        <v>0</v>
      </c>
      <c r="P465" s="28">
        <f>SUM(L465:O465)</f>
        <v>0</v>
      </c>
      <c r="Q465" s="402"/>
      <c r="R465" s="28">
        <f>+R272+R321+R346+R370+R393+R417</f>
        <v>111810620.02000001</v>
      </c>
      <c r="S465" s="28">
        <f>+S272+S321+S346+S370+S393+S417</f>
        <v>19061351.859999999</v>
      </c>
      <c r="T465" s="28">
        <f t="shared" ref="T465:V465" si="375">+T272+T321+T346+T370+T393+T417</f>
        <v>0</v>
      </c>
      <c r="U465" s="28">
        <f t="shared" si="375"/>
        <v>0</v>
      </c>
      <c r="V465" s="28">
        <f t="shared" si="375"/>
        <v>130871971.88</v>
      </c>
      <c r="AA465" s="194"/>
      <c r="AB465" s="416">
        <f>+AB272+AB321+AB346+AB370+AB393+AB417</f>
        <v>0</v>
      </c>
      <c r="AC465" s="416">
        <f t="shared" ref="AC465:AF465" si="376">+AC272+AC321+AC346+AC370+AC393+AC417</f>
        <v>0</v>
      </c>
      <c r="AD465" s="416">
        <f t="shared" si="376"/>
        <v>0</v>
      </c>
      <c r="AE465" s="416">
        <f t="shared" si="376"/>
        <v>0</v>
      </c>
      <c r="AF465" s="416">
        <f t="shared" si="376"/>
        <v>0</v>
      </c>
    </row>
    <row r="466" spans="2:32">
      <c r="B466" s="42" t="s">
        <v>238</v>
      </c>
      <c r="C466" s="62">
        <f t="shared" ref="C466:F484" si="377">+C273+C322+C347+C371+C394+C418</f>
        <v>376429146.81</v>
      </c>
      <c r="D466" s="62">
        <f t="shared" si="377"/>
        <v>34056055.230000004</v>
      </c>
      <c r="E466" s="62">
        <f t="shared" si="377"/>
        <v>9963717.0500000007</v>
      </c>
      <c r="F466" s="62">
        <f t="shared" si="377"/>
        <v>75063597.890000001</v>
      </c>
      <c r="G466" s="231">
        <f>SUM(C466:F466)</f>
        <v>495512516.98000002</v>
      </c>
      <c r="H466" s="303"/>
      <c r="I466" s="44"/>
      <c r="J466" s="44"/>
      <c r="K466" s="44"/>
      <c r="L466" s="28">
        <f t="shared" si="374"/>
        <v>0</v>
      </c>
      <c r="M466" s="28">
        <f t="shared" si="374"/>
        <v>0</v>
      </c>
      <c r="N466" s="28">
        <f t="shared" si="374"/>
        <v>0</v>
      </c>
      <c r="O466" s="28">
        <f t="shared" si="374"/>
        <v>0</v>
      </c>
      <c r="P466" s="28">
        <f t="shared" ref="P466:P484" si="378">SUM(L466:O466)</f>
        <v>0</v>
      </c>
      <c r="Q466" s="402"/>
      <c r="R466" s="28">
        <f t="shared" ref="R466:V484" si="379">+R273+R322+R347+R371+R394+R418</f>
        <v>376429146.81</v>
      </c>
      <c r="S466" s="28">
        <f t="shared" si="379"/>
        <v>34056055.230000004</v>
      </c>
      <c r="T466" s="28">
        <f t="shared" si="379"/>
        <v>0</v>
      </c>
      <c r="U466" s="28">
        <f t="shared" si="379"/>
        <v>75063597.890000001</v>
      </c>
      <c r="V466" s="28">
        <f t="shared" si="379"/>
        <v>485548799.93000007</v>
      </c>
      <c r="AA466" s="194"/>
      <c r="AB466" s="416">
        <f t="shared" ref="AB466:AF481" si="380">+AB273+AB322+AB347+AB371+AB394+AB418</f>
        <v>0</v>
      </c>
      <c r="AC466" s="416">
        <f t="shared" si="380"/>
        <v>0</v>
      </c>
      <c r="AD466" s="416">
        <f t="shared" si="380"/>
        <v>0</v>
      </c>
      <c r="AE466" s="416">
        <f t="shared" si="380"/>
        <v>0</v>
      </c>
      <c r="AF466" s="416">
        <f t="shared" si="380"/>
        <v>0</v>
      </c>
    </row>
    <row r="467" spans="2:32">
      <c r="B467" s="70" t="s">
        <v>239</v>
      </c>
      <c r="C467" s="62">
        <f t="shared" si="377"/>
        <v>454948</v>
      </c>
      <c r="D467" s="62">
        <f t="shared" si="377"/>
        <v>0</v>
      </c>
      <c r="E467" s="62">
        <f t="shared" si="377"/>
        <v>0</v>
      </c>
      <c r="F467" s="62">
        <f t="shared" si="377"/>
        <v>0</v>
      </c>
      <c r="G467" s="231">
        <f t="shared" ref="G467:G484" si="381">SUM(C467:F467)</f>
        <v>454948</v>
      </c>
      <c r="H467" s="303"/>
      <c r="I467" s="44"/>
      <c r="J467" s="44"/>
      <c r="K467" s="44"/>
      <c r="L467" s="28">
        <f t="shared" si="374"/>
        <v>0</v>
      </c>
      <c r="M467" s="28">
        <f t="shared" si="374"/>
        <v>0</v>
      </c>
      <c r="N467" s="28">
        <f t="shared" si="374"/>
        <v>0</v>
      </c>
      <c r="O467" s="28">
        <f t="shared" si="374"/>
        <v>0</v>
      </c>
      <c r="P467" s="28">
        <f t="shared" si="378"/>
        <v>0</v>
      </c>
      <c r="Q467" s="402"/>
      <c r="R467" s="28">
        <f t="shared" si="379"/>
        <v>454948</v>
      </c>
      <c r="S467" s="28">
        <f t="shared" si="379"/>
        <v>0</v>
      </c>
      <c r="T467" s="28">
        <f t="shared" si="379"/>
        <v>0</v>
      </c>
      <c r="U467" s="28">
        <f t="shared" si="379"/>
        <v>0</v>
      </c>
      <c r="V467" s="28">
        <f t="shared" si="379"/>
        <v>454948</v>
      </c>
      <c r="AA467" s="194"/>
      <c r="AB467" s="416">
        <f t="shared" si="380"/>
        <v>0</v>
      </c>
      <c r="AC467" s="416">
        <f t="shared" si="380"/>
        <v>0</v>
      </c>
      <c r="AD467" s="416">
        <f t="shared" si="380"/>
        <v>0</v>
      </c>
      <c r="AE467" s="416">
        <f t="shared" si="380"/>
        <v>0</v>
      </c>
      <c r="AF467" s="416">
        <f t="shared" si="380"/>
        <v>0</v>
      </c>
    </row>
    <row r="468" spans="2:32">
      <c r="B468" s="70" t="s">
        <v>240</v>
      </c>
      <c r="C468" s="62">
        <f t="shared" si="377"/>
        <v>3196110.7</v>
      </c>
      <c r="D468" s="62">
        <f t="shared" si="377"/>
        <v>265000</v>
      </c>
      <c r="E468" s="62">
        <f t="shared" si="377"/>
        <v>0</v>
      </c>
      <c r="F468" s="62">
        <f t="shared" si="377"/>
        <v>505568.87</v>
      </c>
      <c r="G468" s="231">
        <f t="shared" si="381"/>
        <v>3966679.5700000003</v>
      </c>
      <c r="H468" s="303"/>
      <c r="I468" s="44"/>
      <c r="J468" s="44"/>
      <c r="K468" s="44"/>
      <c r="L468" s="28">
        <f t="shared" si="374"/>
        <v>0</v>
      </c>
      <c r="M468" s="28">
        <f t="shared" si="374"/>
        <v>0</v>
      </c>
      <c r="N468" s="28">
        <f t="shared" si="374"/>
        <v>0</v>
      </c>
      <c r="O468" s="28">
        <f t="shared" si="374"/>
        <v>0</v>
      </c>
      <c r="P468" s="28">
        <f t="shared" si="378"/>
        <v>0</v>
      </c>
      <c r="Q468" s="402"/>
      <c r="R468" s="28">
        <f t="shared" si="379"/>
        <v>3196110.7</v>
      </c>
      <c r="S468" s="28">
        <f t="shared" si="379"/>
        <v>265000</v>
      </c>
      <c r="T468" s="28">
        <f t="shared" si="379"/>
        <v>0</v>
      </c>
      <c r="U468" s="28">
        <f t="shared" si="379"/>
        <v>505568.87</v>
      </c>
      <c r="V468" s="28">
        <f t="shared" si="379"/>
        <v>3966679.57</v>
      </c>
      <c r="AA468" s="194"/>
      <c r="AB468" s="416">
        <f t="shared" si="380"/>
        <v>0</v>
      </c>
      <c r="AC468" s="416">
        <f t="shared" si="380"/>
        <v>0</v>
      </c>
      <c r="AD468" s="416">
        <f t="shared" si="380"/>
        <v>0</v>
      </c>
      <c r="AE468" s="416">
        <f t="shared" si="380"/>
        <v>0</v>
      </c>
      <c r="AF468" s="416">
        <f t="shared" si="380"/>
        <v>0</v>
      </c>
    </row>
    <row r="469" spans="2:32">
      <c r="B469" s="42" t="s">
        <v>241</v>
      </c>
      <c r="C469" s="62">
        <f t="shared" si="377"/>
        <v>0</v>
      </c>
      <c r="D469" s="62">
        <f t="shared" si="377"/>
        <v>0</v>
      </c>
      <c r="E469" s="62">
        <f t="shared" si="377"/>
        <v>0</v>
      </c>
      <c r="F469" s="62">
        <f t="shared" si="377"/>
        <v>0</v>
      </c>
      <c r="G469" s="231">
        <f t="shared" si="381"/>
        <v>0</v>
      </c>
      <c r="H469" s="303"/>
      <c r="I469" s="44"/>
      <c r="J469" s="44"/>
      <c r="K469" s="44"/>
      <c r="L469" s="28">
        <f t="shared" si="374"/>
        <v>0</v>
      </c>
      <c r="M469" s="28">
        <f t="shared" si="374"/>
        <v>0</v>
      </c>
      <c r="N469" s="28">
        <f t="shared" si="374"/>
        <v>0</v>
      </c>
      <c r="O469" s="28">
        <f t="shared" si="374"/>
        <v>0</v>
      </c>
      <c r="P469" s="28">
        <f t="shared" si="378"/>
        <v>0</v>
      </c>
      <c r="Q469" s="402"/>
      <c r="R469" s="28">
        <f t="shared" si="379"/>
        <v>0</v>
      </c>
      <c r="S469" s="28">
        <f t="shared" si="379"/>
        <v>0</v>
      </c>
      <c r="T469" s="28">
        <f t="shared" si="379"/>
        <v>0</v>
      </c>
      <c r="U469" s="28">
        <f t="shared" si="379"/>
        <v>0</v>
      </c>
      <c r="V469" s="28">
        <f t="shared" si="379"/>
        <v>0</v>
      </c>
      <c r="AA469" s="194"/>
      <c r="AB469" s="416">
        <f t="shared" si="380"/>
        <v>0</v>
      </c>
      <c r="AC469" s="416">
        <f t="shared" si="380"/>
        <v>0</v>
      </c>
      <c r="AD469" s="416">
        <f t="shared" si="380"/>
        <v>0</v>
      </c>
      <c r="AE469" s="416">
        <f t="shared" si="380"/>
        <v>0</v>
      </c>
      <c r="AF469" s="416">
        <f t="shared" si="380"/>
        <v>0</v>
      </c>
    </row>
    <row r="470" spans="2:32">
      <c r="B470" s="42" t="s">
        <v>242</v>
      </c>
      <c r="C470" s="62">
        <f t="shared" si="377"/>
        <v>0</v>
      </c>
      <c r="D470" s="62">
        <f t="shared" si="377"/>
        <v>0</v>
      </c>
      <c r="E470" s="62">
        <f t="shared" si="377"/>
        <v>0</v>
      </c>
      <c r="F470" s="62">
        <f t="shared" si="377"/>
        <v>0</v>
      </c>
      <c r="G470" s="231">
        <f t="shared" si="381"/>
        <v>0</v>
      </c>
      <c r="H470" s="303"/>
      <c r="I470" s="44"/>
      <c r="J470" s="44"/>
      <c r="K470" s="44"/>
      <c r="L470" s="28">
        <f t="shared" si="374"/>
        <v>0</v>
      </c>
      <c r="M470" s="28">
        <f t="shared" si="374"/>
        <v>0</v>
      </c>
      <c r="N470" s="28">
        <f t="shared" si="374"/>
        <v>0</v>
      </c>
      <c r="O470" s="28">
        <f t="shared" si="374"/>
        <v>0</v>
      </c>
      <c r="P470" s="28">
        <f t="shared" si="378"/>
        <v>0</v>
      </c>
      <c r="Q470" s="402"/>
      <c r="R470" s="28">
        <f t="shared" si="379"/>
        <v>0</v>
      </c>
      <c r="S470" s="28">
        <f t="shared" si="379"/>
        <v>0</v>
      </c>
      <c r="T470" s="28">
        <f t="shared" si="379"/>
        <v>0</v>
      </c>
      <c r="U470" s="28">
        <f t="shared" si="379"/>
        <v>0</v>
      </c>
      <c r="V470" s="28">
        <f t="shared" si="379"/>
        <v>0</v>
      </c>
      <c r="AA470" s="194"/>
      <c r="AB470" s="416">
        <f t="shared" si="380"/>
        <v>0</v>
      </c>
      <c r="AC470" s="416">
        <f t="shared" si="380"/>
        <v>0</v>
      </c>
      <c r="AD470" s="416">
        <f t="shared" si="380"/>
        <v>0</v>
      </c>
      <c r="AE470" s="416">
        <f t="shared" si="380"/>
        <v>0</v>
      </c>
      <c r="AF470" s="416">
        <f t="shared" si="380"/>
        <v>0</v>
      </c>
    </row>
    <row r="471" spans="2:32">
      <c r="B471" s="50" t="s">
        <v>438</v>
      </c>
      <c r="C471" s="62">
        <f t="shared" si="377"/>
        <v>2040550.56</v>
      </c>
      <c r="D471" s="62">
        <f t="shared" si="377"/>
        <v>0</v>
      </c>
      <c r="E471" s="62">
        <f t="shared" si="377"/>
        <v>0</v>
      </c>
      <c r="F471" s="62">
        <f t="shared" si="377"/>
        <v>0</v>
      </c>
      <c r="G471" s="231">
        <f t="shared" si="381"/>
        <v>2040550.56</v>
      </c>
      <c r="H471" s="303"/>
      <c r="I471" s="44"/>
      <c r="J471" s="44"/>
      <c r="K471" s="44"/>
      <c r="L471" s="28">
        <f t="shared" si="374"/>
        <v>0</v>
      </c>
      <c r="M471" s="28">
        <f t="shared" si="374"/>
        <v>0</v>
      </c>
      <c r="N471" s="28">
        <f t="shared" si="374"/>
        <v>0</v>
      </c>
      <c r="O471" s="28">
        <f t="shared" si="374"/>
        <v>0</v>
      </c>
      <c r="P471" s="28">
        <f t="shared" si="378"/>
        <v>0</v>
      </c>
      <c r="Q471" s="402"/>
      <c r="R471" s="28">
        <f t="shared" si="379"/>
        <v>2040550.56</v>
      </c>
      <c r="S471" s="28">
        <f t="shared" si="379"/>
        <v>0</v>
      </c>
      <c r="T471" s="28">
        <f t="shared" si="379"/>
        <v>0</v>
      </c>
      <c r="U471" s="28">
        <f t="shared" si="379"/>
        <v>0</v>
      </c>
      <c r="V471" s="28">
        <f t="shared" si="379"/>
        <v>2040550.56</v>
      </c>
      <c r="AA471" s="194"/>
      <c r="AB471" s="416">
        <f t="shared" si="380"/>
        <v>0</v>
      </c>
      <c r="AC471" s="416">
        <f t="shared" si="380"/>
        <v>0</v>
      </c>
      <c r="AD471" s="416">
        <f t="shared" si="380"/>
        <v>0</v>
      </c>
      <c r="AE471" s="416">
        <f t="shared" si="380"/>
        <v>0</v>
      </c>
      <c r="AF471" s="416">
        <f t="shared" si="380"/>
        <v>0</v>
      </c>
    </row>
    <row r="472" spans="2:32">
      <c r="B472" s="50" t="s">
        <v>243</v>
      </c>
      <c r="C472" s="62">
        <f t="shared" si="377"/>
        <v>2381352.19</v>
      </c>
      <c r="D472" s="62">
        <f t="shared" si="377"/>
        <v>0</v>
      </c>
      <c r="E472" s="62">
        <f t="shared" si="377"/>
        <v>0</v>
      </c>
      <c r="F472" s="62">
        <f t="shared" si="377"/>
        <v>213462.41</v>
      </c>
      <c r="G472" s="231">
        <f t="shared" si="381"/>
        <v>2594814.6</v>
      </c>
      <c r="H472" s="303"/>
      <c r="I472" s="44"/>
      <c r="J472" s="44"/>
      <c r="K472" s="44"/>
      <c r="L472" s="28">
        <f t="shared" si="374"/>
        <v>0</v>
      </c>
      <c r="M472" s="28">
        <f t="shared" si="374"/>
        <v>0</v>
      </c>
      <c r="N472" s="28">
        <f t="shared" si="374"/>
        <v>0</v>
      </c>
      <c r="O472" s="28">
        <f t="shared" si="374"/>
        <v>0</v>
      </c>
      <c r="P472" s="28">
        <f t="shared" si="378"/>
        <v>0</v>
      </c>
      <c r="Q472" s="402"/>
      <c r="R472" s="28">
        <f t="shared" si="379"/>
        <v>2381352.19</v>
      </c>
      <c r="S472" s="28">
        <f t="shared" si="379"/>
        <v>0</v>
      </c>
      <c r="T472" s="28">
        <f t="shared" si="379"/>
        <v>0</v>
      </c>
      <c r="U472" s="28">
        <f t="shared" si="379"/>
        <v>213462.41</v>
      </c>
      <c r="V472" s="28">
        <f t="shared" si="379"/>
        <v>2594814.6</v>
      </c>
      <c r="AA472" s="194"/>
      <c r="AB472" s="416">
        <f t="shared" si="380"/>
        <v>0</v>
      </c>
      <c r="AC472" s="416">
        <f t="shared" si="380"/>
        <v>0</v>
      </c>
      <c r="AD472" s="416">
        <f t="shared" si="380"/>
        <v>0</v>
      </c>
      <c r="AE472" s="416">
        <f t="shared" si="380"/>
        <v>0</v>
      </c>
      <c r="AF472" s="416">
        <f t="shared" si="380"/>
        <v>0</v>
      </c>
    </row>
    <row r="473" spans="2:32">
      <c r="B473" s="50" t="s">
        <v>244</v>
      </c>
      <c r="C473" s="62">
        <f t="shared" si="377"/>
        <v>0</v>
      </c>
      <c r="D473" s="62">
        <f t="shared" si="377"/>
        <v>0</v>
      </c>
      <c r="E473" s="62">
        <f t="shared" si="377"/>
        <v>0</v>
      </c>
      <c r="F473" s="62">
        <f t="shared" si="377"/>
        <v>0</v>
      </c>
      <c r="G473" s="231">
        <f t="shared" si="381"/>
        <v>0</v>
      </c>
      <c r="H473" s="303"/>
      <c r="I473" s="44"/>
      <c r="J473" s="44"/>
      <c r="K473" s="44"/>
      <c r="L473" s="28">
        <f t="shared" si="374"/>
        <v>0</v>
      </c>
      <c r="M473" s="28">
        <f t="shared" si="374"/>
        <v>0</v>
      </c>
      <c r="N473" s="28">
        <f t="shared" si="374"/>
        <v>0</v>
      </c>
      <c r="O473" s="28">
        <f t="shared" si="374"/>
        <v>0</v>
      </c>
      <c r="P473" s="28">
        <f t="shared" si="378"/>
        <v>0</v>
      </c>
      <c r="Q473" s="402"/>
      <c r="R473" s="28">
        <f t="shared" si="379"/>
        <v>0</v>
      </c>
      <c r="S473" s="28">
        <f t="shared" si="379"/>
        <v>0</v>
      </c>
      <c r="T473" s="28">
        <f t="shared" si="379"/>
        <v>0</v>
      </c>
      <c r="U473" s="28">
        <f t="shared" si="379"/>
        <v>0</v>
      </c>
      <c r="V473" s="28">
        <f t="shared" si="379"/>
        <v>0</v>
      </c>
      <c r="AA473" s="194"/>
      <c r="AB473" s="416">
        <f t="shared" si="380"/>
        <v>0</v>
      </c>
      <c r="AC473" s="416">
        <f t="shared" si="380"/>
        <v>0</v>
      </c>
      <c r="AD473" s="416">
        <f t="shared" si="380"/>
        <v>0</v>
      </c>
      <c r="AE473" s="416">
        <f t="shared" si="380"/>
        <v>0</v>
      </c>
      <c r="AF473" s="416">
        <f t="shared" si="380"/>
        <v>0</v>
      </c>
    </row>
    <row r="474" spans="2:32">
      <c r="B474" s="50" t="s">
        <v>245</v>
      </c>
      <c r="C474" s="62">
        <f t="shared" si="377"/>
        <v>0</v>
      </c>
      <c r="D474" s="62">
        <f t="shared" si="377"/>
        <v>0</v>
      </c>
      <c r="E474" s="62">
        <f t="shared" si="377"/>
        <v>0</v>
      </c>
      <c r="F474" s="62">
        <f t="shared" si="377"/>
        <v>0</v>
      </c>
      <c r="G474" s="231">
        <f t="shared" si="381"/>
        <v>0</v>
      </c>
      <c r="H474" s="303"/>
      <c r="I474" s="44"/>
      <c r="J474" s="44"/>
      <c r="K474" s="44"/>
      <c r="L474" s="28">
        <f t="shared" si="374"/>
        <v>0</v>
      </c>
      <c r="M474" s="28">
        <f t="shared" si="374"/>
        <v>0</v>
      </c>
      <c r="N474" s="28">
        <f t="shared" si="374"/>
        <v>0</v>
      </c>
      <c r="O474" s="28">
        <f t="shared" si="374"/>
        <v>0</v>
      </c>
      <c r="P474" s="28">
        <f t="shared" si="378"/>
        <v>0</v>
      </c>
      <c r="Q474" s="402"/>
      <c r="R474" s="28">
        <f t="shared" si="379"/>
        <v>0</v>
      </c>
      <c r="S474" s="28">
        <f t="shared" si="379"/>
        <v>0</v>
      </c>
      <c r="T474" s="28">
        <f t="shared" si="379"/>
        <v>0</v>
      </c>
      <c r="U474" s="28">
        <f t="shared" si="379"/>
        <v>0</v>
      </c>
      <c r="V474" s="28">
        <f t="shared" si="379"/>
        <v>0</v>
      </c>
      <c r="AA474" s="194"/>
      <c r="AB474" s="416">
        <f t="shared" si="380"/>
        <v>0</v>
      </c>
      <c r="AC474" s="416">
        <f t="shared" si="380"/>
        <v>0</v>
      </c>
      <c r="AD474" s="416">
        <f t="shared" si="380"/>
        <v>0</v>
      </c>
      <c r="AE474" s="416">
        <f t="shared" si="380"/>
        <v>0</v>
      </c>
      <c r="AF474" s="416">
        <f t="shared" si="380"/>
        <v>0</v>
      </c>
    </row>
    <row r="475" spans="2:32">
      <c r="B475" s="50" t="s">
        <v>246</v>
      </c>
      <c r="C475" s="62">
        <f t="shared" si="377"/>
        <v>0</v>
      </c>
      <c r="D475" s="62">
        <f t="shared" si="377"/>
        <v>0</v>
      </c>
      <c r="E475" s="62">
        <f t="shared" si="377"/>
        <v>0</v>
      </c>
      <c r="F475" s="62">
        <f t="shared" si="377"/>
        <v>0</v>
      </c>
      <c r="G475" s="231">
        <f t="shared" si="381"/>
        <v>0</v>
      </c>
      <c r="H475" s="303"/>
      <c r="I475" s="44"/>
      <c r="J475" s="44"/>
      <c r="K475" s="44"/>
      <c r="L475" s="28">
        <f t="shared" si="374"/>
        <v>0</v>
      </c>
      <c r="M475" s="28">
        <f t="shared" si="374"/>
        <v>0</v>
      </c>
      <c r="N475" s="28">
        <f t="shared" si="374"/>
        <v>0</v>
      </c>
      <c r="O475" s="28">
        <f t="shared" si="374"/>
        <v>0</v>
      </c>
      <c r="P475" s="28">
        <f t="shared" si="378"/>
        <v>0</v>
      </c>
      <c r="Q475" s="402"/>
      <c r="R475" s="28">
        <f t="shared" si="379"/>
        <v>0</v>
      </c>
      <c r="S475" s="28">
        <f t="shared" si="379"/>
        <v>0</v>
      </c>
      <c r="T475" s="28">
        <f t="shared" si="379"/>
        <v>0</v>
      </c>
      <c r="U475" s="28">
        <f t="shared" si="379"/>
        <v>0</v>
      </c>
      <c r="V475" s="28">
        <f t="shared" si="379"/>
        <v>0</v>
      </c>
      <c r="AA475" s="194"/>
      <c r="AB475" s="416">
        <f t="shared" si="380"/>
        <v>0</v>
      </c>
      <c r="AC475" s="416">
        <f t="shared" si="380"/>
        <v>0</v>
      </c>
      <c r="AD475" s="416">
        <f t="shared" si="380"/>
        <v>0</v>
      </c>
      <c r="AE475" s="416">
        <f t="shared" si="380"/>
        <v>0</v>
      </c>
      <c r="AF475" s="416">
        <f t="shared" si="380"/>
        <v>0</v>
      </c>
    </row>
    <row r="476" spans="2:32">
      <c r="B476" s="50" t="s">
        <v>247</v>
      </c>
      <c r="C476" s="62">
        <f t="shared" si="377"/>
        <v>0</v>
      </c>
      <c r="D476" s="62">
        <f t="shared" si="377"/>
        <v>0</v>
      </c>
      <c r="E476" s="62">
        <f t="shared" si="377"/>
        <v>0</v>
      </c>
      <c r="F476" s="62">
        <f t="shared" si="377"/>
        <v>0</v>
      </c>
      <c r="G476" s="231">
        <f t="shared" si="381"/>
        <v>0</v>
      </c>
      <c r="H476" s="303"/>
      <c r="I476" s="44"/>
      <c r="J476" s="44"/>
      <c r="K476" s="44"/>
      <c r="L476" s="28">
        <f t="shared" si="374"/>
        <v>0</v>
      </c>
      <c r="M476" s="28">
        <f t="shared" si="374"/>
        <v>0</v>
      </c>
      <c r="N476" s="28">
        <f t="shared" si="374"/>
        <v>0</v>
      </c>
      <c r="O476" s="28">
        <f t="shared" si="374"/>
        <v>0</v>
      </c>
      <c r="P476" s="28">
        <f t="shared" si="378"/>
        <v>0</v>
      </c>
      <c r="Q476" s="402"/>
      <c r="R476" s="28">
        <f t="shared" si="379"/>
        <v>0</v>
      </c>
      <c r="S476" s="28">
        <f t="shared" si="379"/>
        <v>0</v>
      </c>
      <c r="T476" s="28">
        <f t="shared" si="379"/>
        <v>0</v>
      </c>
      <c r="U476" s="28">
        <f t="shared" si="379"/>
        <v>0</v>
      </c>
      <c r="V476" s="28">
        <f t="shared" si="379"/>
        <v>0</v>
      </c>
      <c r="AA476" s="194"/>
      <c r="AB476" s="416">
        <f t="shared" si="380"/>
        <v>0</v>
      </c>
      <c r="AC476" s="416">
        <f t="shared" si="380"/>
        <v>0</v>
      </c>
      <c r="AD476" s="416">
        <f t="shared" si="380"/>
        <v>0</v>
      </c>
      <c r="AE476" s="416">
        <f t="shared" si="380"/>
        <v>0</v>
      </c>
      <c r="AF476" s="416">
        <f t="shared" si="380"/>
        <v>0</v>
      </c>
    </row>
    <row r="477" spans="2:32">
      <c r="B477" s="50" t="s">
        <v>248</v>
      </c>
      <c r="C477" s="62">
        <f t="shared" si="377"/>
        <v>0</v>
      </c>
      <c r="D477" s="62">
        <f t="shared" si="377"/>
        <v>0</v>
      </c>
      <c r="E477" s="62">
        <f t="shared" si="377"/>
        <v>0</v>
      </c>
      <c r="F477" s="62">
        <f t="shared" si="377"/>
        <v>0</v>
      </c>
      <c r="G477" s="231">
        <f t="shared" si="381"/>
        <v>0</v>
      </c>
      <c r="H477" s="303"/>
      <c r="I477" s="44"/>
      <c r="J477" s="44"/>
      <c r="K477" s="44"/>
      <c r="L477" s="28">
        <f t="shared" si="374"/>
        <v>0</v>
      </c>
      <c r="M477" s="28">
        <f t="shared" si="374"/>
        <v>0</v>
      </c>
      <c r="N477" s="28">
        <f t="shared" si="374"/>
        <v>0</v>
      </c>
      <c r="O477" s="28">
        <f t="shared" si="374"/>
        <v>0</v>
      </c>
      <c r="P477" s="28">
        <f t="shared" si="378"/>
        <v>0</v>
      </c>
      <c r="Q477" s="402"/>
      <c r="R477" s="28">
        <f t="shared" si="379"/>
        <v>0</v>
      </c>
      <c r="S477" s="28">
        <f t="shared" si="379"/>
        <v>0</v>
      </c>
      <c r="T477" s="28">
        <f t="shared" si="379"/>
        <v>0</v>
      </c>
      <c r="U477" s="28">
        <f t="shared" si="379"/>
        <v>0</v>
      </c>
      <c r="V477" s="28">
        <f t="shared" si="379"/>
        <v>0</v>
      </c>
      <c r="AA477" s="194"/>
      <c r="AB477" s="416">
        <f t="shared" si="380"/>
        <v>0</v>
      </c>
      <c r="AC477" s="416">
        <f t="shared" si="380"/>
        <v>0</v>
      </c>
      <c r="AD477" s="416">
        <f t="shared" si="380"/>
        <v>0</v>
      </c>
      <c r="AE477" s="416">
        <f t="shared" si="380"/>
        <v>0</v>
      </c>
      <c r="AF477" s="416">
        <f t="shared" si="380"/>
        <v>0</v>
      </c>
    </row>
    <row r="478" spans="2:32">
      <c r="B478" s="50" t="s">
        <v>249</v>
      </c>
      <c r="C478" s="62">
        <f t="shared" si="377"/>
        <v>0</v>
      </c>
      <c r="D478" s="62">
        <f t="shared" si="377"/>
        <v>0</v>
      </c>
      <c r="E478" s="62">
        <f t="shared" si="377"/>
        <v>0</v>
      </c>
      <c r="F478" s="62">
        <f t="shared" si="377"/>
        <v>0</v>
      </c>
      <c r="G478" s="231">
        <f t="shared" si="381"/>
        <v>0</v>
      </c>
      <c r="H478" s="303"/>
      <c r="I478" s="44"/>
      <c r="J478" s="44"/>
      <c r="K478" s="44"/>
      <c r="L478" s="28">
        <f t="shared" si="374"/>
        <v>0</v>
      </c>
      <c r="M478" s="28">
        <f t="shared" si="374"/>
        <v>0</v>
      </c>
      <c r="N478" s="28">
        <f t="shared" si="374"/>
        <v>0</v>
      </c>
      <c r="O478" s="28">
        <f t="shared" si="374"/>
        <v>0</v>
      </c>
      <c r="P478" s="28">
        <f t="shared" si="378"/>
        <v>0</v>
      </c>
      <c r="Q478" s="402"/>
      <c r="R478" s="28">
        <f t="shared" si="379"/>
        <v>0</v>
      </c>
      <c r="S478" s="28">
        <f t="shared" si="379"/>
        <v>0</v>
      </c>
      <c r="T478" s="28">
        <f t="shared" si="379"/>
        <v>0</v>
      </c>
      <c r="U478" s="28">
        <f t="shared" si="379"/>
        <v>0</v>
      </c>
      <c r="V478" s="28">
        <f t="shared" si="379"/>
        <v>0</v>
      </c>
      <c r="AA478" s="194"/>
      <c r="AB478" s="416">
        <f t="shared" si="380"/>
        <v>0</v>
      </c>
      <c r="AC478" s="416">
        <f t="shared" si="380"/>
        <v>0</v>
      </c>
      <c r="AD478" s="416">
        <f t="shared" si="380"/>
        <v>0</v>
      </c>
      <c r="AE478" s="416">
        <f t="shared" si="380"/>
        <v>0</v>
      </c>
      <c r="AF478" s="416">
        <f t="shared" si="380"/>
        <v>0</v>
      </c>
    </row>
    <row r="479" spans="2:32">
      <c r="B479" s="50" t="s">
        <v>250</v>
      </c>
      <c r="C479" s="62">
        <f t="shared" si="377"/>
        <v>0</v>
      </c>
      <c r="D479" s="62">
        <f t="shared" si="377"/>
        <v>0</v>
      </c>
      <c r="E479" s="62">
        <f t="shared" si="377"/>
        <v>0</v>
      </c>
      <c r="F479" s="62">
        <f t="shared" si="377"/>
        <v>0</v>
      </c>
      <c r="G479" s="231">
        <f t="shared" si="381"/>
        <v>0</v>
      </c>
      <c r="H479" s="303"/>
      <c r="I479" s="44"/>
      <c r="J479" s="44"/>
      <c r="K479" s="44"/>
      <c r="L479" s="28">
        <f t="shared" si="374"/>
        <v>0</v>
      </c>
      <c r="M479" s="28">
        <f t="shared" si="374"/>
        <v>0</v>
      </c>
      <c r="N479" s="28">
        <f t="shared" si="374"/>
        <v>0</v>
      </c>
      <c r="O479" s="28">
        <f t="shared" si="374"/>
        <v>0</v>
      </c>
      <c r="P479" s="28">
        <f t="shared" si="378"/>
        <v>0</v>
      </c>
      <c r="Q479" s="402"/>
      <c r="R479" s="28">
        <f t="shared" si="379"/>
        <v>0</v>
      </c>
      <c r="S479" s="28">
        <f t="shared" si="379"/>
        <v>0</v>
      </c>
      <c r="T479" s="28">
        <f t="shared" si="379"/>
        <v>0</v>
      </c>
      <c r="U479" s="28">
        <f t="shared" si="379"/>
        <v>0</v>
      </c>
      <c r="V479" s="28">
        <f t="shared" si="379"/>
        <v>0</v>
      </c>
      <c r="AA479" s="194"/>
      <c r="AB479" s="416">
        <f t="shared" si="380"/>
        <v>0</v>
      </c>
      <c r="AC479" s="416">
        <f t="shared" si="380"/>
        <v>0</v>
      </c>
      <c r="AD479" s="416">
        <f t="shared" si="380"/>
        <v>0</v>
      </c>
      <c r="AE479" s="416">
        <f t="shared" si="380"/>
        <v>0</v>
      </c>
      <c r="AF479" s="416">
        <f t="shared" si="380"/>
        <v>0</v>
      </c>
    </row>
    <row r="480" spans="2:32">
      <c r="B480" s="50" t="s">
        <v>251</v>
      </c>
      <c r="C480" s="62">
        <f t="shared" si="377"/>
        <v>0</v>
      </c>
      <c r="D480" s="62">
        <f t="shared" si="377"/>
        <v>0</v>
      </c>
      <c r="E480" s="62">
        <f t="shared" si="377"/>
        <v>0</v>
      </c>
      <c r="F480" s="62">
        <f t="shared" si="377"/>
        <v>0</v>
      </c>
      <c r="G480" s="231">
        <f t="shared" si="381"/>
        <v>0</v>
      </c>
      <c r="H480" s="303"/>
      <c r="I480" s="44"/>
      <c r="J480" s="44"/>
      <c r="K480" s="44"/>
      <c r="L480" s="28">
        <f t="shared" si="374"/>
        <v>0</v>
      </c>
      <c r="M480" s="28">
        <f t="shared" si="374"/>
        <v>0</v>
      </c>
      <c r="N480" s="28">
        <f t="shared" si="374"/>
        <v>0</v>
      </c>
      <c r="O480" s="28">
        <f t="shared" si="374"/>
        <v>0</v>
      </c>
      <c r="P480" s="28">
        <f t="shared" si="378"/>
        <v>0</v>
      </c>
      <c r="Q480" s="402"/>
      <c r="R480" s="28">
        <f t="shared" si="379"/>
        <v>0</v>
      </c>
      <c r="S480" s="28">
        <f t="shared" si="379"/>
        <v>0</v>
      </c>
      <c r="T480" s="28">
        <f t="shared" si="379"/>
        <v>0</v>
      </c>
      <c r="U480" s="28">
        <f t="shared" si="379"/>
        <v>0</v>
      </c>
      <c r="V480" s="28">
        <f t="shared" si="379"/>
        <v>0</v>
      </c>
      <c r="AA480" s="194"/>
      <c r="AB480" s="416">
        <f t="shared" si="380"/>
        <v>0</v>
      </c>
      <c r="AC480" s="416">
        <f t="shared" si="380"/>
        <v>0</v>
      </c>
      <c r="AD480" s="416">
        <f t="shared" si="380"/>
        <v>0</v>
      </c>
      <c r="AE480" s="416">
        <f t="shared" si="380"/>
        <v>0</v>
      </c>
      <c r="AF480" s="416">
        <f t="shared" si="380"/>
        <v>0</v>
      </c>
    </row>
    <row r="481" spans="2:32">
      <c r="B481" s="50" t="s">
        <v>252</v>
      </c>
      <c r="C481" s="62">
        <f t="shared" si="377"/>
        <v>0</v>
      </c>
      <c r="D481" s="62">
        <f t="shared" si="377"/>
        <v>0</v>
      </c>
      <c r="E481" s="62">
        <f t="shared" si="377"/>
        <v>0</v>
      </c>
      <c r="F481" s="62">
        <f t="shared" si="377"/>
        <v>0</v>
      </c>
      <c r="G481" s="231">
        <f t="shared" si="381"/>
        <v>0</v>
      </c>
      <c r="H481" s="303"/>
      <c r="I481" s="44"/>
      <c r="J481" s="44"/>
      <c r="K481" s="44"/>
      <c r="L481" s="28">
        <f t="shared" si="374"/>
        <v>0</v>
      </c>
      <c r="M481" s="28">
        <f t="shared" si="374"/>
        <v>0</v>
      </c>
      <c r="N481" s="28">
        <f t="shared" si="374"/>
        <v>0</v>
      </c>
      <c r="O481" s="28">
        <f t="shared" si="374"/>
        <v>0</v>
      </c>
      <c r="P481" s="28">
        <f t="shared" si="378"/>
        <v>0</v>
      </c>
      <c r="Q481" s="402"/>
      <c r="R481" s="28">
        <f t="shared" si="379"/>
        <v>0</v>
      </c>
      <c r="S481" s="28">
        <f t="shared" si="379"/>
        <v>0</v>
      </c>
      <c r="T481" s="28">
        <f t="shared" si="379"/>
        <v>0</v>
      </c>
      <c r="U481" s="28">
        <f t="shared" si="379"/>
        <v>0</v>
      </c>
      <c r="V481" s="28">
        <f t="shared" si="379"/>
        <v>0</v>
      </c>
      <c r="AA481" s="194"/>
      <c r="AB481" s="416">
        <f t="shared" si="380"/>
        <v>0</v>
      </c>
      <c r="AC481" s="416">
        <f t="shared" si="380"/>
        <v>0</v>
      </c>
      <c r="AD481" s="416">
        <f t="shared" si="380"/>
        <v>0</v>
      </c>
      <c r="AE481" s="416">
        <f t="shared" si="380"/>
        <v>0</v>
      </c>
      <c r="AF481" s="416">
        <f t="shared" si="380"/>
        <v>0</v>
      </c>
    </row>
    <row r="482" spans="2:32">
      <c r="B482" s="50" t="s">
        <v>253</v>
      </c>
      <c r="C482" s="62">
        <f t="shared" si="377"/>
        <v>0</v>
      </c>
      <c r="D482" s="62">
        <f t="shared" si="377"/>
        <v>0</v>
      </c>
      <c r="E482" s="62">
        <f t="shared" si="377"/>
        <v>0</v>
      </c>
      <c r="F482" s="62">
        <f t="shared" si="377"/>
        <v>0</v>
      </c>
      <c r="G482" s="231">
        <f t="shared" si="381"/>
        <v>0</v>
      </c>
      <c r="H482" s="303"/>
      <c r="I482" s="44"/>
      <c r="J482" s="44"/>
      <c r="K482" s="44"/>
      <c r="L482" s="28">
        <f t="shared" si="374"/>
        <v>0</v>
      </c>
      <c r="M482" s="28">
        <f t="shared" si="374"/>
        <v>0</v>
      </c>
      <c r="N482" s="28">
        <f t="shared" si="374"/>
        <v>0</v>
      </c>
      <c r="O482" s="28">
        <f t="shared" si="374"/>
        <v>0</v>
      </c>
      <c r="P482" s="28">
        <f t="shared" si="378"/>
        <v>0</v>
      </c>
      <c r="Q482" s="402"/>
      <c r="R482" s="28">
        <f t="shared" si="379"/>
        <v>0</v>
      </c>
      <c r="S482" s="28">
        <f t="shared" si="379"/>
        <v>0</v>
      </c>
      <c r="T482" s="28">
        <f t="shared" si="379"/>
        <v>0</v>
      </c>
      <c r="U482" s="28">
        <f t="shared" si="379"/>
        <v>0</v>
      </c>
      <c r="V482" s="28">
        <f t="shared" si="379"/>
        <v>0</v>
      </c>
    </row>
    <row r="483" spans="2:32">
      <c r="B483" s="50" t="s">
        <v>254</v>
      </c>
      <c r="C483" s="62">
        <f t="shared" si="377"/>
        <v>0</v>
      </c>
      <c r="D483" s="62">
        <f t="shared" si="377"/>
        <v>0</v>
      </c>
      <c r="E483" s="62">
        <f t="shared" si="377"/>
        <v>0</v>
      </c>
      <c r="F483" s="62">
        <f t="shared" si="377"/>
        <v>0</v>
      </c>
      <c r="G483" s="231">
        <f t="shared" si="381"/>
        <v>0</v>
      </c>
      <c r="H483" s="303"/>
      <c r="I483" s="44"/>
      <c r="J483" s="44"/>
      <c r="K483" s="44"/>
      <c r="L483" s="28">
        <f t="shared" si="374"/>
        <v>0</v>
      </c>
      <c r="M483" s="28">
        <f t="shared" si="374"/>
        <v>0</v>
      </c>
      <c r="N483" s="28">
        <f t="shared" si="374"/>
        <v>0</v>
      </c>
      <c r="O483" s="28">
        <f t="shared" si="374"/>
        <v>0</v>
      </c>
      <c r="P483" s="28">
        <f t="shared" si="378"/>
        <v>0</v>
      </c>
      <c r="Q483" s="402"/>
      <c r="R483" s="28">
        <f t="shared" si="379"/>
        <v>0</v>
      </c>
      <c r="S483" s="28">
        <f t="shared" si="379"/>
        <v>0</v>
      </c>
      <c r="T483" s="28">
        <f t="shared" si="379"/>
        <v>0</v>
      </c>
      <c r="U483" s="28">
        <f t="shared" si="379"/>
        <v>0</v>
      </c>
      <c r="V483" s="28">
        <f t="shared" si="379"/>
        <v>0</v>
      </c>
    </row>
    <row r="484" spans="2:32">
      <c r="B484" s="42" t="s">
        <v>216</v>
      </c>
      <c r="C484" s="62">
        <f t="shared" si="377"/>
        <v>0</v>
      </c>
      <c r="D484" s="62">
        <f t="shared" si="377"/>
        <v>0</v>
      </c>
      <c r="E484" s="62">
        <f t="shared" si="377"/>
        <v>0</v>
      </c>
      <c r="F484" s="62">
        <f t="shared" si="377"/>
        <v>0</v>
      </c>
      <c r="G484" s="231">
        <f t="shared" si="381"/>
        <v>0</v>
      </c>
      <c r="H484" s="303"/>
      <c r="I484" s="44"/>
      <c r="J484" s="44"/>
      <c r="K484" s="44"/>
      <c r="L484" s="28">
        <f t="shared" si="374"/>
        <v>0</v>
      </c>
      <c r="M484" s="28">
        <f t="shared" si="374"/>
        <v>0</v>
      </c>
      <c r="N484" s="28">
        <f t="shared" si="374"/>
        <v>0</v>
      </c>
      <c r="O484" s="28">
        <f t="shared" si="374"/>
        <v>0</v>
      </c>
      <c r="P484" s="28">
        <f t="shared" si="378"/>
        <v>0</v>
      </c>
      <c r="Q484" s="402"/>
      <c r="R484" s="28">
        <f t="shared" si="379"/>
        <v>0</v>
      </c>
      <c r="S484" s="28">
        <f t="shared" si="379"/>
        <v>0</v>
      </c>
      <c r="T484" s="28">
        <f t="shared" si="379"/>
        <v>0</v>
      </c>
      <c r="U484" s="28">
        <f t="shared" si="379"/>
        <v>0</v>
      </c>
      <c r="V484" s="28">
        <f t="shared" si="379"/>
        <v>0</v>
      </c>
    </row>
    <row r="485" spans="2:32">
      <c r="B485" s="70"/>
      <c r="C485" s="62">
        <f>SUM(C465:C484)</f>
        <v>496312728.28000003</v>
      </c>
      <c r="D485" s="62">
        <f t="shared" ref="D485:G485" si="382">SUM(D465:D484)</f>
        <v>53382407.090000004</v>
      </c>
      <c r="E485" s="62">
        <f t="shared" si="382"/>
        <v>9963717.0500000007</v>
      </c>
      <c r="F485" s="62">
        <f t="shared" si="382"/>
        <v>75782629.170000002</v>
      </c>
      <c r="G485" s="62">
        <f t="shared" si="382"/>
        <v>635441481.59000003</v>
      </c>
      <c r="H485" s="66"/>
      <c r="I485" s="66"/>
      <c r="J485" s="66"/>
      <c r="K485" s="88"/>
      <c r="L485" s="65">
        <f t="shared" ref="L485:U485" si="383">SUM(L465:L484)</f>
        <v>0</v>
      </c>
      <c r="M485" s="65">
        <f t="shared" si="383"/>
        <v>0</v>
      </c>
      <c r="N485" s="65">
        <f t="shared" si="383"/>
        <v>0</v>
      </c>
      <c r="O485" s="65">
        <f t="shared" si="383"/>
        <v>0</v>
      </c>
      <c r="P485" s="65">
        <f t="shared" si="383"/>
        <v>0</v>
      </c>
      <c r="Q485" s="411"/>
      <c r="R485" s="28">
        <f>SUM(R465:R484)</f>
        <v>496312728.28000003</v>
      </c>
      <c r="S485" s="28">
        <f t="shared" si="383"/>
        <v>53382407.090000004</v>
      </c>
      <c r="T485" s="28">
        <f t="shared" si="383"/>
        <v>0</v>
      </c>
      <c r="U485" s="28">
        <f t="shared" si="383"/>
        <v>75782629.170000002</v>
      </c>
      <c r="V485" s="45">
        <f>SUM(V465:V484)</f>
        <v>625477764.54000008</v>
      </c>
    </row>
    <row r="486" spans="2:32">
      <c r="C486" s="54"/>
      <c r="D486" s="54"/>
      <c r="E486" s="383"/>
      <c r="F486" s="54"/>
      <c r="G486" s="29"/>
    </row>
    <row r="487" spans="2:32">
      <c r="C487" s="27">
        <f>565976499.7-10042258.21-59621513.21</f>
        <v>496312728.28000003</v>
      </c>
      <c r="D487" s="27">
        <f>74276720.05-4733197-16161115.96</f>
        <v>53382407.089999996</v>
      </c>
      <c r="E487" s="27">
        <v>9963717.0500000007</v>
      </c>
      <c r="F487" s="27">
        <f>59621513.21+16161115.96</f>
        <v>75782629.170000002</v>
      </c>
      <c r="G487" s="27">
        <f>+C487+D487+E487+F487</f>
        <v>635441481.58999991</v>
      </c>
      <c r="R487" s="54"/>
      <c r="S487" s="54"/>
      <c r="T487" s="54"/>
      <c r="U487" s="54"/>
      <c r="V487" s="29"/>
    </row>
    <row r="488" spans="2:32">
      <c r="G488" s="29"/>
      <c r="T488" s="27"/>
    </row>
    <row r="489" spans="2:32" ht="26.25">
      <c r="B489" s="378"/>
      <c r="C489" s="27"/>
      <c r="D489" s="27"/>
      <c r="E489" s="27"/>
      <c r="F489" s="27"/>
      <c r="G489" s="27"/>
      <c r="H489" s="27"/>
      <c r="I489" s="27"/>
      <c r="J489" s="27"/>
      <c r="K489" s="27"/>
      <c r="P489" s="27"/>
      <c r="Q489" s="412"/>
      <c r="R489" s="27"/>
      <c r="S489" s="27"/>
      <c r="T489" s="27"/>
      <c r="U489" s="27"/>
      <c r="V489" s="27"/>
      <c r="W489" s="27"/>
      <c r="X489" s="27"/>
      <c r="Y489" s="27"/>
      <c r="Z489" s="27"/>
      <c r="AA489" s="27"/>
    </row>
    <row r="490" spans="2:32">
      <c r="C490" s="27"/>
      <c r="D490" s="27"/>
      <c r="E490" s="27"/>
      <c r="F490" s="27"/>
      <c r="G490" s="27"/>
      <c r="R490" s="27">
        <f>+R265+R485</f>
        <v>869171922.95000005</v>
      </c>
      <c r="S490" s="27">
        <f t="shared" ref="S490:V490" si="384">+S265+S485</f>
        <v>164932546.28</v>
      </c>
      <c r="T490" s="27">
        <f t="shared" si="384"/>
        <v>9963717.0500000007</v>
      </c>
      <c r="U490" s="27">
        <f t="shared" si="384"/>
        <v>246376807.051</v>
      </c>
      <c r="V490" s="27">
        <f t="shared" si="384"/>
        <v>1290444993.3310001</v>
      </c>
    </row>
    <row r="491" spans="2:32">
      <c r="C491" s="27"/>
      <c r="D491" s="27"/>
      <c r="E491" s="27"/>
      <c r="F491" s="27"/>
      <c r="G491" s="27"/>
    </row>
    <row r="492" spans="2:32">
      <c r="V492" s="29"/>
    </row>
    <row r="493" spans="2:32">
      <c r="G493" s="29"/>
      <c r="R493" s="54"/>
      <c r="S493" s="54"/>
      <c r="T493" s="54"/>
      <c r="U493" s="54"/>
      <c r="V493" s="29"/>
    </row>
    <row r="495" spans="2:32">
      <c r="V495" s="29"/>
    </row>
    <row r="496" spans="2:32">
      <c r="R496" s="27"/>
      <c r="S496" s="27"/>
      <c r="T496" s="27"/>
      <c r="U496" s="27"/>
      <c r="V496" s="27"/>
    </row>
  </sheetData>
  <mergeCells count="40">
    <mergeCell ref="R297:V317"/>
    <mergeCell ref="H4:H5"/>
    <mergeCell ref="I4:I5"/>
    <mergeCell ref="B463:G463"/>
    <mergeCell ref="B194:G194"/>
    <mergeCell ref="B208:G208"/>
    <mergeCell ref="B254:G254"/>
    <mergeCell ref="B439:G439"/>
    <mergeCell ref="B368:G368"/>
    <mergeCell ref="B391:G391"/>
    <mergeCell ref="B415:G415"/>
    <mergeCell ref="B344:G344"/>
    <mergeCell ref="B225:G225"/>
    <mergeCell ref="B239:G239"/>
    <mergeCell ref="C4:G4"/>
    <mergeCell ref="B270:G270"/>
    <mergeCell ref="B295:G295"/>
    <mergeCell ref="B319:G319"/>
    <mergeCell ref="B18:G18"/>
    <mergeCell ref="B31:G31"/>
    <mergeCell ref="B45:G45"/>
    <mergeCell ref="B59:G59"/>
    <mergeCell ref="B149:G149"/>
    <mergeCell ref="B163:G163"/>
    <mergeCell ref="B72:G72"/>
    <mergeCell ref="B104:G104"/>
    <mergeCell ref="AB254:AF254"/>
    <mergeCell ref="B1:G1"/>
    <mergeCell ref="B2:G2"/>
    <mergeCell ref="B3:G3"/>
    <mergeCell ref="B135:G135"/>
    <mergeCell ref="AB4:AF4"/>
    <mergeCell ref="R4:V4"/>
    <mergeCell ref="W4:AA4"/>
    <mergeCell ref="L4:P4"/>
    <mergeCell ref="J4:J5"/>
    <mergeCell ref="B117:G117"/>
    <mergeCell ref="B90:G90"/>
    <mergeCell ref="K4:K5"/>
    <mergeCell ref="B180:G180"/>
  </mergeCells>
  <printOptions horizontalCentered="1"/>
  <pageMargins left="0.16" right="0.17" top="0.39" bottom="0.38" header="0.27" footer="0.35"/>
  <pageSetup paperSize="9" scale="50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103"/>
  <sheetViews>
    <sheetView zoomScale="80" zoomScaleNormal="80" workbookViewId="0">
      <pane xSplit="5" ySplit="3" topLeftCell="G4" activePane="bottomRight" state="frozen"/>
      <selection pane="topRight" activeCell="F1" sqref="F1"/>
      <selection pane="bottomLeft" activeCell="A4" sqref="A4"/>
      <selection pane="bottomRight" activeCell="E48" sqref="E48"/>
    </sheetView>
  </sheetViews>
  <sheetFormatPr defaultRowHeight="17.25" customHeight="1"/>
  <cols>
    <col min="1" max="1" width="3.140625" style="124" customWidth="1"/>
    <col min="2" max="2" width="6.5703125" style="417" customWidth="1"/>
    <col min="3" max="3" width="48.28515625" style="417" customWidth="1"/>
    <col min="4" max="4" width="8.140625" style="428" customWidth="1"/>
    <col min="5" max="5" width="15.42578125" style="124" customWidth="1"/>
    <col min="6" max="7" width="15.85546875" style="124" bestFit="1" customWidth="1"/>
    <col min="8" max="8" width="14.85546875" style="124" bestFit="1" customWidth="1"/>
    <col min="9" max="9" width="15.85546875" style="124" bestFit="1" customWidth="1"/>
    <col min="10" max="10" width="15.42578125" style="124" customWidth="1"/>
    <col min="11" max="11" width="15" style="124" customWidth="1"/>
    <col min="12" max="12" width="15.7109375" style="124" customWidth="1"/>
    <col min="13" max="13" width="13.42578125" style="124" bestFit="1" customWidth="1"/>
    <col min="14" max="16384" width="9.140625" style="124"/>
  </cols>
  <sheetData>
    <row r="1" spans="1:12" ht="21" customHeight="1">
      <c r="A1" s="658" t="s">
        <v>433</v>
      </c>
      <c r="B1" s="658"/>
      <c r="C1" s="658"/>
      <c r="D1" s="658"/>
      <c r="E1" s="658"/>
      <c r="F1" s="658"/>
      <c r="G1" s="658"/>
      <c r="H1" s="658"/>
      <c r="I1" s="658"/>
      <c r="J1" s="658"/>
      <c r="K1" s="658"/>
    </row>
    <row r="2" spans="1:12" ht="21" customHeight="1">
      <c r="A2" s="659" t="s">
        <v>419</v>
      </c>
      <c r="B2" s="659"/>
      <c r="C2" s="659"/>
      <c r="D2" s="659"/>
      <c r="E2" s="659"/>
      <c r="F2" s="659"/>
      <c r="G2" s="659"/>
      <c r="H2" s="659"/>
      <c r="I2" s="659"/>
      <c r="J2" s="659"/>
      <c r="K2" s="659"/>
    </row>
    <row r="3" spans="1:12" s="241" customFormat="1" ht="39.75" customHeight="1">
      <c r="A3" s="654" t="s">
        <v>40</v>
      </c>
      <c r="B3" s="654"/>
      <c r="C3" s="654"/>
      <c r="D3" s="239" t="s">
        <v>105</v>
      </c>
      <c r="E3" s="418" t="s">
        <v>500</v>
      </c>
      <c r="F3" s="418" t="s">
        <v>42</v>
      </c>
      <c r="G3" s="418" t="s">
        <v>43</v>
      </c>
      <c r="H3" s="418" t="s">
        <v>10</v>
      </c>
      <c r="I3" s="240" t="s">
        <v>11</v>
      </c>
      <c r="J3" s="418" t="s">
        <v>44</v>
      </c>
      <c r="K3" s="240" t="s">
        <v>158</v>
      </c>
      <c r="L3" s="240" t="s">
        <v>183</v>
      </c>
    </row>
    <row r="4" spans="1:12" ht="17.25" customHeight="1">
      <c r="A4" s="243" t="s">
        <v>135</v>
      </c>
      <c r="B4" s="243"/>
      <c r="C4" s="243"/>
      <c r="D4" s="249">
        <f>+D5</f>
        <v>521</v>
      </c>
      <c r="E4" s="123">
        <f t="shared" ref="E4" si="0">+E5</f>
        <v>425.25</v>
      </c>
      <c r="F4" s="249">
        <f>+F5</f>
        <v>14819052.220000001</v>
      </c>
      <c r="G4" s="249">
        <f t="shared" ref="G4:I6" si="1">+G5</f>
        <v>2427355.9900000002</v>
      </c>
      <c r="H4" s="249">
        <f t="shared" si="1"/>
        <v>317152.5</v>
      </c>
      <c r="I4" s="249">
        <f>+I5</f>
        <v>5739004.4500000002</v>
      </c>
      <c r="J4" s="123">
        <f>+J5</f>
        <v>23302565.16</v>
      </c>
      <c r="K4" s="116">
        <f>+J4/E4</f>
        <v>54797.33135802469</v>
      </c>
      <c r="L4" s="116">
        <f>+(F4+G4+H4)/E4</f>
        <v>41301.730064667841</v>
      </c>
    </row>
    <row r="5" spans="1:12" ht="17.25" customHeight="1">
      <c r="A5" s="657" t="s">
        <v>112</v>
      </c>
      <c r="B5" s="657"/>
      <c r="C5" s="657"/>
      <c r="D5" s="245">
        <f>+D6</f>
        <v>521</v>
      </c>
      <c r="E5" s="246">
        <f t="shared" ref="E5:J6" si="2">+E6</f>
        <v>425.25</v>
      </c>
      <c r="F5" s="246">
        <f>+F6</f>
        <v>14819052.220000001</v>
      </c>
      <c r="G5" s="246">
        <f t="shared" si="1"/>
        <v>2427355.9900000002</v>
      </c>
      <c r="H5" s="246">
        <f t="shared" si="1"/>
        <v>317152.5</v>
      </c>
      <c r="I5" s="246">
        <f t="shared" si="1"/>
        <v>5739004.4500000002</v>
      </c>
      <c r="J5" s="246">
        <f>+J6</f>
        <v>23302565.16</v>
      </c>
      <c r="K5" s="116">
        <f t="shared" ref="K5:K45" si="3">+J5/E5</f>
        <v>54797.33135802469</v>
      </c>
      <c r="L5" s="116">
        <f t="shared" ref="L5:L45" si="4">+(F5+G5+H5)/E5</f>
        <v>41301.730064667841</v>
      </c>
    </row>
    <row r="6" spans="1:12" ht="17.25" customHeight="1">
      <c r="A6" s="116"/>
      <c r="B6" s="653" t="s">
        <v>58</v>
      </c>
      <c r="C6" s="653"/>
      <c r="D6" s="245">
        <f>+D7</f>
        <v>521</v>
      </c>
      <c r="E6" s="246">
        <f>+E7</f>
        <v>425.25</v>
      </c>
      <c r="F6" s="246">
        <f>+F7</f>
        <v>14819052.220000001</v>
      </c>
      <c r="G6" s="246">
        <f t="shared" si="1"/>
        <v>2427355.9900000002</v>
      </c>
      <c r="H6" s="246">
        <f t="shared" si="1"/>
        <v>317152.5</v>
      </c>
      <c r="I6" s="246">
        <f t="shared" si="1"/>
        <v>5739004.4500000002</v>
      </c>
      <c r="J6" s="246">
        <f t="shared" si="2"/>
        <v>23302565.16</v>
      </c>
      <c r="K6" s="116">
        <f t="shared" si="3"/>
        <v>54797.33135802469</v>
      </c>
      <c r="L6" s="116">
        <f t="shared" si="4"/>
        <v>41301.730064667841</v>
      </c>
    </row>
    <row r="7" spans="1:12" ht="17.25" customHeight="1">
      <c r="A7" s="116"/>
      <c r="B7" s="116"/>
      <c r="C7" s="419" t="s">
        <v>154</v>
      </c>
      <c r="D7" s="248">
        <v>521</v>
      </c>
      <c r="E7" s="123">
        <v>425.25</v>
      </c>
      <c r="F7" s="123">
        <v>14819052.220000001</v>
      </c>
      <c r="G7" s="123">
        <v>2427355.9900000002</v>
      </c>
      <c r="H7" s="123">
        <v>317152.5</v>
      </c>
      <c r="I7" s="123">
        <v>5739004.4500000002</v>
      </c>
      <c r="J7" s="116">
        <f>SUM(F7:I7)</f>
        <v>23302565.16</v>
      </c>
      <c r="K7" s="116">
        <f>+J7/E7</f>
        <v>54797.33135802469</v>
      </c>
      <c r="L7" s="116">
        <f t="shared" si="4"/>
        <v>41301.730064667841</v>
      </c>
    </row>
    <row r="8" spans="1:12" ht="17.25" customHeight="1">
      <c r="A8" s="243" t="s">
        <v>133</v>
      </c>
      <c r="B8" s="243"/>
      <c r="C8" s="243"/>
      <c r="D8" s="249">
        <f>+D9+D16</f>
        <v>17044</v>
      </c>
      <c r="E8" s="123">
        <f>+E9+E16</f>
        <v>13377.39</v>
      </c>
      <c r="F8" s="123">
        <f t="shared" ref="F8:I8" si="5">+F9+F16</f>
        <v>301604113.99000001</v>
      </c>
      <c r="G8" s="123">
        <f t="shared" si="5"/>
        <v>101458568.19</v>
      </c>
      <c r="H8" s="123">
        <f t="shared" si="5"/>
        <v>9580870.6600000001</v>
      </c>
      <c r="I8" s="123">
        <f t="shared" si="5"/>
        <v>146236212.39999998</v>
      </c>
      <c r="J8" s="116">
        <f t="shared" ref="J8:J45" si="6">SUM(F8:I8)</f>
        <v>558879765.24000001</v>
      </c>
      <c r="K8" s="116">
        <f t="shared" si="3"/>
        <v>41777.937642544624</v>
      </c>
      <c r="L8" s="116">
        <f t="shared" si="4"/>
        <v>30846.342436005831</v>
      </c>
    </row>
    <row r="9" spans="1:12" s="417" customFormat="1" ht="17.25" customHeight="1">
      <c r="A9" s="657" t="s">
        <v>111</v>
      </c>
      <c r="B9" s="657"/>
      <c r="C9" s="657"/>
      <c r="D9" s="249">
        <f t="shared" ref="D9:E9" si="7">+D10+D14</f>
        <v>8130</v>
      </c>
      <c r="E9" s="123">
        <f t="shared" si="7"/>
        <v>6503.35</v>
      </c>
      <c r="F9" s="123">
        <f t="shared" ref="F9:I9" si="8">+F10+F14</f>
        <v>66884144.610000007</v>
      </c>
      <c r="G9" s="123">
        <f t="shared" si="8"/>
        <v>44287090.299999997</v>
      </c>
      <c r="H9" s="123">
        <f t="shared" si="8"/>
        <v>3940645.21</v>
      </c>
      <c r="I9" s="123">
        <f t="shared" si="8"/>
        <v>33661849.109999999</v>
      </c>
      <c r="J9" s="116">
        <f t="shared" si="6"/>
        <v>148773729.22999999</v>
      </c>
      <c r="K9" s="116">
        <f t="shared" si="3"/>
        <v>22876.475851676441</v>
      </c>
      <c r="L9" s="116">
        <f t="shared" si="4"/>
        <v>17700.397505900801</v>
      </c>
    </row>
    <row r="10" spans="1:12" ht="17.25" customHeight="1">
      <c r="A10" s="250"/>
      <c r="B10" s="653" t="s">
        <v>45</v>
      </c>
      <c r="C10" s="653"/>
      <c r="D10" s="248">
        <f t="shared" ref="D10" si="9">+D11+D12+D13</f>
        <v>6689</v>
      </c>
      <c r="E10" s="116">
        <f>+E11+E12+E13</f>
        <v>5262.5700000000006</v>
      </c>
      <c r="F10" s="116">
        <f t="shared" ref="F10:I10" si="10">+F11+F12+F13</f>
        <v>47033031.260000005</v>
      </c>
      <c r="G10" s="116">
        <f t="shared" si="10"/>
        <v>32847577.949999999</v>
      </c>
      <c r="H10" s="116">
        <f t="shared" si="10"/>
        <v>2926723.25</v>
      </c>
      <c r="I10" s="116">
        <f t="shared" si="10"/>
        <v>21937403.590000004</v>
      </c>
      <c r="J10" s="116">
        <f t="shared" ref="J10" si="11">+J11+J12+J13</f>
        <v>104744736.05000001</v>
      </c>
      <c r="K10" s="116">
        <f t="shared" si="3"/>
        <v>19903.723095369754</v>
      </c>
      <c r="L10" s="116">
        <f t="shared" si="4"/>
        <v>15735.150783742543</v>
      </c>
    </row>
    <row r="11" spans="1:12" ht="17.25" customHeight="1">
      <c r="A11" s="123"/>
      <c r="B11" s="425"/>
      <c r="C11" s="426" t="s">
        <v>46</v>
      </c>
      <c r="D11" s="248">
        <v>2952</v>
      </c>
      <c r="E11" s="123">
        <v>2474.61</v>
      </c>
      <c r="F11" s="123">
        <v>11658360.49</v>
      </c>
      <c r="G11" s="123">
        <v>13644910.91</v>
      </c>
      <c r="H11" s="123">
        <v>2020283</v>
      </c>
      <c r="I11" s="123">
        <v>15578586.630000001</v>
      </c>
      <c r="J11" s="116">
        <f t="shared" si="6"/>
        <v>42902141.030000001</v>
      </c>
      <c r="K11" s="116">
        <f t="shared" si="3"/>
        <v>17336.930275881856</v>
      </c>
      <c r="L11" s="116">
        <f t="shared" si="4"/>
        <v>11041.55984175284</v>
      </c>
    </row>
    <row r="12" spans="1:12" ht="17.25" customHeight="1">
      <c r="A12" s="123"/>
      <c r="B12" s="116"/>
      <c r="C12" s="123" t="s">
        <v>47</v>
      </c>
      <c r="D12" s="248">
        <v>2616</v>
      </c>
      <c r="E12" s="123">
        <v>1925.57</v>
      </c>
      <c r="F12" s="123">
        <v>21532041.350000001</v>
      </c>
      <c r="G12" s="123">
        <v>14301665.99</v>
      </c>
      <c r="H12" s="123">
        <v>201725.35</v>
      </c>
      <c r="I12" s="123">
        <v>3767956.04</v>
      </c>
      <c r="J12" s="116">
        <f t="shared" si="6"/>
        <v>39803388.730000004</v>
      </c>
      <c r="K12" s="116">
        <f t="shared" si="3"/>
        <v>20670.964301479566</v>
      </c>
      <c r="L12" s="116">
        <f t="shared" si="4"/>
        <v>18714.163956646607</v>
      </c>
    </row>
    <row r="13" spans="1:12" ht="17.25" customHeight="1">
      <c r="A13" s="123"/>
      <c r="B13" s="116"/>
      <c r="C13" s="123" t="s">
        <v>71</v>
      </c>
      <c r="D13" s="248">
        <v>1121</v>
      </c>
      <c r="E13" s="123">
        <v>862.39</v>
      </c>
      <c r="F13" s="123">
        <v>13842629.42</v>
      </c>
      <c r="G13" s="123">
        <v>4901001.05</v>
      </c>
      <c r="H13" s="123">
        <v>704714.9</v>
      </c>
      <c r="I13" s="123">
        <v>2590860.92</v>
      </c>
      <c r="J13" s="116">
        <f t="shared" si="6"/>
        <v>22039206.289999999</v>
      </c>
      <c r="K13" s="116">
        <f t="shared" si="3"/>
        <v>25555.962256055846</v>
      </c>
      <c r="L13" s="116">
        <f t="shared" si="4"/>
        <v>22551.682382680687</v>
      </c>
    </row>
    <row r="14" spans="1:12" ht="17.25" customHeight="1">
      <c r="A14" s="250"/>
      <c r="B14" s="653" t="s">
        <v>50</v>
      </c>
      <c r="C14" s="653"/>
      <c r="D14" s="248">
        <f t="shared" ref="D14" si="12">+D15</f>
        <v>1441</v>
      </c>
      <c r="E14" s="116">
        <f>+E15</f>
        <v>1240.78</v>
      </c>
      <c r="F14" s="116">
        <f t="shared" ref="F14:I14" si="13">+F15</f>
        <v>19851113.350000001</v>
      </c>
      <c r="G14" s="116">
        <f t="shared" si="13"/>
        <v>11439512.35</v>
      </c>
      <c r="H14" s="116">
        <f t="shared" si="13"/>
        <v>1013921.96</v>
      </c>
      <c r="I14" s="116">
        <f t="shared" si="13"/>
        <v>11724445.52</v>
      </c>
      <c r="J14" s="116">
        <f t="shared" si="6"/>
        <v>44028993.180000007</v>
      </c>
      <c r="K14" s="116">
        <f t="shared" si="3"/>
        <v>35484.93139799159</v>
      </c>
      <c r="L14" s="116">
        <f t="shared" si="4"/>
        <v>26035.677283644163</v>
      </c>
    </row>
    <row r="15" spans="1:12" ht="17.25" customHeight="1">
      <c r="A15" s="123"/>
      <c r="B15" s="116"/>
      <c r="C15" s="419" t="s">
        <v>51</v>
      </c>
      <c r="D15" s="248">
        <v>1441</v>
      </c>
      <c r="E15" s="123">
        <v>1240.78</v>
      </c>
      <c r="F15" s="123">
        <v>19851113.350000001</v>
      </c>
      <c r="G15" s="123">
        <v>11439512.35</v>
      </c>
      <c r="H15" s="123">
        <v>1013921.96</v>
      </c>
      <c r="I15" s="123">
        <v>11724445.52</v>
      </c>
      <c r="J15" s="116">
        <f t="shared" si="6"/>
        <v>44028993.180000007</v>
      </c>
      <c r="K15" s="116">
        <f t="shared" si="3"/>
        <v>35484.93139799159</v>
      </c>
      <c r="L15" s="116">
        <f t="shared" si="4"/>
        <v>26035.677283644163</v>
      </c>
    </row>
    <row r="16" spans="1:12" ht="17.25" customHeight="1">
      <c r="A16" s="657" t="s">
        <v>112</v>
      </c>
      <c r="B16" s="657"/>
      <c r="C16" s="657"/>
      <c r="D16" s="249">
        <f t="shared" ref="D16" si="14">+D17+D20+D23+D25+D30+D32</f>
        <v>8914</v>
      </c>
      <c r="E16" s="123">
        <f>+E17+E20+E23+E25+E30+E32</f>
        <v>6874.04</v>
      </c>
      <c r="F16" s="123">
        <f t="shared" ref="F16:I16" si="15">+F17+F20+F23+F25+F30+F32</f>
        <v>234719969.38000003</v>
      </c>
      <c r="G16" s="123">
        <f t="shared" si="15"/>
        <v>57171477.889999993</v>
      </c>
      <c r="H16" s="123">
        <f t="shared" si="15"/>
        <v>5640225.4499999993</v>
      </c>
      <c r="I16" s="123">
        <f t="shared" si="15"/>
        <v>112574363.28999999</v>
      </c>
      <c r="J16" s="123">
        <f>+J17+J20+J23+J25+J30+J32</f>
        <v>410106036.01000005</v>
      </c>
      <c r="K16" s="116">
        <f t="shared" si="3"/>
        <v>59660.117777900632</v>
      </c>
      <c r="L16" s="116">
        <f t="shared" si="4"/>
        <v>43283.37814734858</v>
      </c>
    </row>
    <row r="17" spans="1:12" ht="17.25" customHeight="1">
      <c r="A17" s="250"/>
      <c r="B17" s="653" t="s">
        <v>52</v>
      </c>
      <c r="C17" s="653"/>
      <c r="D17" s="248">
        <f t="shared" ref="D17:E17" si="16">+D18+D19</f>
        <v>1343</v>
      </c>
      <c r="E17" s="116">
        <f t="shared" si="16"/>
        <v>911.07</v>
      </c>
      <c r="F17" s="116">
        <f t="shared" ref="F17:I17" si="17">+F18+F19</f>
        <v>29998354.539999999</v>
      </c>
      <c r="G17" s="116">
        <f t="shared" si="17"/>
        <v>7325689.71</v>
      </c>
      <c r="H17" s="116">
        <f t="shared" si="17"/>
        <v>743106.49</v>
      </c>
      <c r="I17" s="116">
        <f t="shared" si="17"/>
        <v>14176362.9</v>
      </c>
      <c r="J17" s="116">
        <f>+J18+J19</f>
        <v>52243513.640000001</v>
      </c>
      <c r="K17" s="116">
        <f t="shared" si="3"/>
        <v>57343.029229367661</v>
      </c>
      <c r="L17" s="116">
        <f t="shared" si="4"/>
        <v>41782.904431053597</v>
      </c>
    </row>
    <row r="18" spans="1:12" ht="17.25" customHeight="1">
      <c r="A18" s="250"/>
      <c r="B18" s="116"/>
      <c r="C18" s="419" t="s">
        <v>53</v>
      </c>
      <c r="D18" s="248">
        <v>168</v>
      </c>
      <c r="E18" s="123">
        <v>115.88</v>
      </c>
      <c r="F18" s="123">
        <v>9340046.9600000009</v>
      </c>
      <c r="G18" s="123">
        <v>664982.32999999996</v>
      </c>
      <c r="H18" s="123">
        <v>94438.43</v>
      </c>
      <c r="I18" s="123">
        <v>3467139.66</v>
      </c>
      <c r="J18" s="116">
        <f t="shared" si="6"/>
        <v>13566607.380000001</v>
      </c>
      <c r="K18" s="116">
        <f t="shared" si="3"/>
        <v>117074.62357611323</v>
      </c>
      <c r="L18" s="116">
        <f t="shared" si="4"/>
        <v>87154.536762167772</v>
      </c>
    </row>
    <row r="19" spans="1:12" ht="17.25" customHeight="1">
      <c r="A19" s="250"/>
      <c r="B19" s="116"/>
      <c r="C19" s="419" t="s">
        <v>54</v>
      </c>
      <c r="D19" s="248">
        <v>1175</v>
      </c>
      <c r="E19" s="123">
        <v>795.19</v>
      </c>
      <c r="F19" s="123">
        <v>20658307.579999998</v>
      </c>
      <c r="G19" s="123">
        <v>6660707.3799999999</v>
      </c>
      <c r="H19" s="123">
        <v>648668.06000000006</v>
      </c>
      <c r="I19" s="123">
        <v>10709223.24</v>
      </c>
      <c r="J19" s="116">
        <f>SUM(F19:I19)</f>
        <v>38676906.259999998</v>
      </c>
      <c r="K19" s="116">
        <f t="shared" si="3"/>
        <v>48638.572240596579</v>
      </c>
      <c r="L19" s="116">
        <f t="shared" si="4"/>
        <v>35171.069832367102</v>
      </c>
    </row>
    <row r="20" spans="1:12" ht="17.25" customHeight="1">
      <c r="A20" s="250"/>
      <c r="B20" s="653" t="s">
        <v>55</v>
      </c>
      <c r="C20" s="653"/>
      <c r="D20" s="248">
        <f t="shared" ref="D20" si="18">+D21+D22</f>
        <v>2095</v>
      </c>
      <c r="E20" s="116">
        <f>+E21+E22</f>
        <v>1538.31</v>
      </c>
      <c r="F20" s="116">
        <f t="shared" ref="F20:I20" si="19">+F21+F22</f>
        <v>67855052.830000013</v>
      </c>
      <c r="G20" s="116">
        <f t="shared" si="19"/>
        <v>9742341.9299999997</v>
      </c>
      <c r="H20" s="116">
        <f t="shared" si="19"/>
        <v>1249978.7399999998</v>
      </c>
      <c r="I20" s="116">
        <f t="shared" si="19"/>
        <v>19164827.780000001</v>
      </c>
      <c r="J20" s="116">
        <f t="shared" si="6"/>
        <v>98012201.280000016</v>
      </c>
      <c r="K20" s="116">
        <f t="shared" si="3"/>
        <v>63714.206681358126</v>
      </c>
      <c r="L20" s="116">
        <f t="shared" si="4"/>
        <v>51255.841475385336</v>
      </c>
    </row>
    <row r="21" spans="1:12" ht="17.25" customHeight="1">
      <c r="A21" s="250"/>
      <c r="B21" s="116"/>
      <c r="C21" s="419" t="s">
        <v>56</v>
      </c>
      <c r="D21" s="248">
        <v>1055</v>
      </c>
      <c r="E21" s="123">
        <v>756.74</v>
      </c>
      <c r="F21" s="123">
        <f>966900.7+39033008.42</f>
        <v>39999909.120000005</v>
      </c>
      <c r="G21" s="123">
        <f>0+5356292.97</f>
        <v>5356292.97</v>
      </c>
      <c r="H21" s="123">
        <f>22112.48+596268.94</f>
        <v>618381.41999999993</v>
      </c>
      <c r="I21" s="123">
        <f>1741239.33+11913356.54</f>
        <v>13654595.869999999</v>
      </c>
      <c r="J21" s="116">
        <f t="shared" si="6"/>
        <v>59629179.380000003</v>
      </c>
      <c r="K21" s="116">
        <f t="shared" si="3"/>
        <v>78797.446124164184</v>
      </c>
      <c r="L21" s="116">
        <f t="shared" si="4"/>
        <v>60753.473465126735</v>
      </c>
    </row>
    <row r="22" spans="1:12" ht="17.25" customHeight="1">
      <c r="A22" s="250"/>
      <c r="B22" s="116"/>
      <c r="C22" s="419" t="s">
        <v>57</v>
      </c>
      <c r="D22" s="248">
        <v>1040</v>
      </c>
      <c r="E22" s="123">
        <v>781.57</v>
      </c>
      <c r="F22" s="123">
        <v>27855143.710000001</v>
      </c>
      <c r="G22" s="123">
        <v>4386048.96</v>
      </c>
      <c r="H22" s="123">
        <v>631597.31999999995</v>
      </c>
      <c r="I22" s="123">
        <v>5510231.9100000001</v>
      </c>
      <c r="J22" s="116">
        <f t="shared" si="6"/>
        <v>38383021.900000006</v>
      </c>
      <c r="K22" s="116">
        <f t="shared" si="3"/>
        <v>49110.152513530462</v>
      </c>
      <c r="L22" s="116">
        <f t="shared" si="4"/>
        <v>42059.943434369285</v>
      </c>
    </row>
    <row r="23" spans="1:12" ht="17.25" customHeight="1">
      <c r="A23" s="116"/>
      <c r="B23" s="653" t="s">
        <v>155</v>
      </c>
      <c r="C23" s="653"/>
      <c r="D23" s="248">
        <f t="shared" ref="D23" si="20">+D24</f>
        <v>226</v>
      </c>
      <c r="E23" s="116">
        <f>+E24</f>
        <v>227.53</v>
      </c>
      <c r="F23" s="116">
        <f t="shared" ref="F23:I23" si="21">+F24</f>
        <v>31940060.710000001</v>
      </c>
      <c r="G23" s="116">
        <f t="shared" si="21"/>
        <v>4815892.6500000004</v>
      </c>
      <c r="H23" s="116">
        <f t="shared" si="21"/>
        <v>185929.55</v>
      </c>
      <c r="I23" s="116">
        <f t="shared" si="21"/>
        <v>18926786.809999999</v>
      </c>
      <c r="J23" s="116">
        <f t="shared" si="6"/>
        <v>55868669.719999999</v>
      </c>
      <c r="K23" s="116">
        <f t="shared" si="3"/>
        <v>245544.1907440777</v>
      </c>
      <c r="L23" s="116">
        <f t="shared" si="4"/>
        <v>162360.49272623388</v>
      </c>
    </row>
    <row r="24" spans="1:12" ht="17.25" customHeight="1">
      <c r="A24" s="250"/>
      <c r="B24" s="116"/>
      <c r="C24" s="419" t="s">
        <v>70</v>
      </c>
      <c r="D24" s="248">
        <v>226</v>
      </c>
      <c r="E24" s="123">
        <v>227.53</v>
      </c>
      <c r="F24" s="123">
        <v>31940060.710000001</v>
      </c>
      <c r="G24" s="123">
        <v>4815892.6500000004</v>
      </c>
      <c r="H24" s="123">
        <v>185929.55</v>
      </c>
      <c r="I24" s="123">
        <v>18926786.809999999</v>
      </c>
      <c r="J24" s="116">
        <f t="shared" si="6"/>
        <v>55868669.719999999</v>
      </c>
      <c r="K24" s="116">
        <f t="shared" si="3"/>
        <v>245544.1907440777</v>
      </c>
      <c r="L24" s="116">
        <f t="shared" si="4"/>
        <v>162360.49272623388</v>
      </c>
    </row>
    <row r="25" spans="1:12" ht="17.25" customHeight="1">
      <c r="A25" s="250"/>
      <c r="B25" s="653" t="s">
        <v>58</v>
      </c>
      <c r="C25" s="653"/>
      <c r="D25" s="248">
        <f t="shared" ref="D25:I25" si="22">+D26+D27+D28+D29</f>
        <v>3324</v>
      </c>
      <c r="E25" s="116">
        <f t="shared" si="22"/>
        <v>2601.2600000000002</v>
      </c>
      <c r="F25" s="116">
        <f t="shared" si="22"/>
        <v>73193980.370000005</v>
      </c>
      <c r="G25" s="116">
        <f t="shared" si="22"/>
        <v>23525463.689999998</v>
      </c>
      <c r="H25" s="116">
        <f t="shared" si="22"/>
        <v>2157121.6</v>
      </c>
      <c r="I25" s="116">
        <f t="shared" si="22"/>
        <v>44829917.189999998</v>
      </c>
      <c r="J25" s="116">
        <f t="shared" si="6"/>
        <v>143706482.84999999</v>
      </c>
      <c r="K25" s="116">
        <f t="shared" si="3"/>
        <v>55244.951619599728</v>
      </c>
      <c r="L25" s="116">
        <f t="shared" si="4"/>
        <v>38011.027602008253</v>
      </c>
    </row>
    <row r="26" spans="1:12" ht="17.25" customHeight="1">
      <c r="A26" s="123"/>
      <c r="B26" s="116"/>
      <c r="C26" s="419" t="s">
        <v>59</v>
      </c>
      <c r="D26" s="248">
        <v>2493</v>
      </c>
      <c r="E26" s="123">
        <v>2054.65</v>
      </c>
      <c r="F26" s="123">
        <v>30526419.449999999</v>
      </c>
      <c r="G26" s="123">
        <v>17747321</v>
      </c>
      <c r="H26" s="123">
        <v>1677854.88</v>
      </c>
      <c r="I26" s="123">
        <v>21878797.239999998</v>
      </c>
      <c r="J26" s="116">
        <f t="shared" si="6"/>
        <v>71830392.570000008</v>
      </c>
      <c r="K26" s="116">
        <f t="shared" si="3"/>
        <v>34959.916564865067</v>
      </c>
      <c r="L26" s="116">
        <f t="shared" si="4"/>
        <v>24311.48630180323</v>
      </c>
    </row>
    <row r="27" spans="1:12" ht="17.25" customHeight="1">
      <c r="A27" s="123"/>
      <c r="B27" s="116"/>
      <c r="C27" s="419" t="s">
        <v>410</v>
      </c>
      <c r="D27" s="248">
        <v>73</v>
      </c>
      <c r="E27" s="123">
        <v>51.5</v>
      </c>
      <c r="F27" s="123">
        <v>1955216.82</v>
      </c>
      <c r="G27" s="123">
        <v>307866.90000000002</v>
      </c>
      <c r="H27" s="123">
        <v>44333.27</v>
      </c>
      <c r="I27" s="123">
        <v>386775.89</v>
      </c>
      <c r="J27" s="116">
        <f t="shared" si="6"/>
        <v>2694192.8800000004</v>
      </c>
      <c r="K27" s="116">
        <f t="shared" si="3"/>
        <v>52314.424854368939</v>
      </c>
      <c r="L27" s="116">
        <f t="shared" si="4"/>
        <v>44804.213398058258</v>
      </c>
    </row>
    <row r="28" spans="1:12" ht="17.25" customHeight="1">
      <c r="A28" s="123"/>
      <c r="B28" s="116"/>
      <c r="C28" s="419" t="s">
        <v>61</v>
      </c>
      <c r="D28" s="248">
        <v>542</v>
      </c>
      <c r="E28" s="123">
        <v>371.34</v>
      </c>
      <c r="F28" s="123">
        <v>34568552.780000001</v>
      </c>
      <c r="G28" s="123">
        <v>4463924.75</v>
      </c>
      <c r="H28" s="123">
        <v>303446.03999999998</v>
      </c>
      <c r="I28" s="123">
        <v>20185025.510000002</v>
      </c>
      <c r="J28" s="116">
        <f t="shared" si="6"/>
        <v>59520949.079999998</v>
      </c>
      <c r="K28" s="116">
        <f t="shared" si="3"/>
        <v>160286.93132977866</v>
      </c>
      <c r="L28" s="116">
        <f t="shared" si="4"/>
        <v>105929.66976355901</v>
      </c>
    </row>
    <row r="29" spans="1:12" ht="17.25" customHeight="1">
      <c r="A29" s="123"/>
      <c r="B29" s="116"/>
      <c r="C29" s="419" t="s">
        <v>62</v>
      </c>
      <c r="D29" s="248">
        <v>216</v>
      </c>
      <c r="E29" s="123">
        <v>123.77</v>
      </c>
      <c r="F29" s="123">
        <v>6143791.3200000003</v>
      </c>
      <c r="G29" s="123">
        <v>1006351.04</v>
      </c>
      <c r="H29" s="123">
        <v>131487.41</v>
      </c>
      <c r="I29" s="123">
        <v>2379318.5499999998</v>
      </c>
      <c r="J29" s="116">
        <f t="shared" si="6"/>
        <v>9660948.3200000003</v>
      </c>
      <c r="K29" s="116">
        <f t="shared" si="3"/>
        <v>78055.654197301454</v>
      </c>
      <c r="L29" s="116">
        <f t="shared" si="4"/>
        <v>58831.944493819188</v>
      </c>
    </row>
    <row r="30" spans="1:12" ht="17.25" customHeight="1">
      <c r="A30" s="123"/>
      <c r="B30" s="426" t="s">
        <v>156</v>
      </c>
      <c r="C30" s="426"/>
      <c r="D30" s="248">
        <f t="shared" ref="D30:I30" si="23">+D31</f>
        <v>1104</v>
      </c>
      <c r="E30" s="116">
        <f t="shared" si="23"/>
        <v>926.33</v>
      </c>
      <c r="F30" s="116">
        <f t="shared" si="23"/>
        <v>19068494.390000001</v>
      </c>
      <c r="G30" s="116">
        <f t="shared" si="23"/>
        <v>6376799.6200000001</v>
      </c>
      <c r="H30" s="116">
        <f t="shared" si="23"/>
        <v>756964.43</v>
      </c>
      <c r="I30" s="116">
        <f t="shared" si="23"/>
        <v>9884429.9199999999</v>
      </c>
      <c r="J30" s="116">
        <f t="shared" si="6"/>
        <v>36086688.359999999</v>
      </c>
      <c r="K30" s="116">
        <f t="shared" si="3"/>
        <v>38956.622758628131</v>
      </c>
      <c r="L30" s="116">
        <f t="shared" si="4"/>
        <v>28286.095063314369</v>
      </c>
    </row>
    <row r="31" spans="1:12" ht="17.25" customHeight="1">
      <c r="A31" s="123"/>
      <c r="B31" s="116"/>
      <c r="C31" s="419" t="s">
        <v>60</v>
      </c>
      <c r="D31" s="248">
        <v>1104</v>
      </c>
      <c r="E31" s="123">
        <v>926.33</v>
      </c>
      <c r="F31" s="123">
        <v>19068494.390000001</v>
      </c>
      <c r="G31" s="123">
        <v>6376799.6200000001</v>
      </c>
      <c r="H31" s="123">
        <v>756964.43</v>
      </c>
      <c r="I31" s="123">
        <v>9884429.9199999999</v>
      </c>
      <c r="J31" s="116">
        <f>SUM(F31:I31)</f>
        <v>36086688.359999999</v>
      </c>
      <c r="K31" s="116">
        <f t="shared" si="3"/>
        <v>38956.622758628131</v>
      </c>
      <c r="L31" s="116">
        <f t="shared" si="4"/>
        <v>28286.095063314369</v>
      </c>
    </row>
    <row r="32" spans="1:12" ht="17.25" customHeight="1">
      <c r="A32" s="250"/>
      <c r="B32" s="653" t="s">
        <v>48</v>
      </c>
      <c r="C32" s="653"/>
      <c r="D32" s="248">
        <f t="shared" ref="D32" si="24">+D33</f>
        <v>822</v>
      </c>
      <c r="E32" s="116">
        <f>+E33</f>
        <v>669.54</v>
      </c>
      <c r="F32" s="116">
        <f t="shared" ref="F32:I32" si="25">+F33</f>
        <v>12664026.539999999</v>
      </c>
      <c r="G32" s="116">
        <f t="shared" si="25"/>
        <v>5385290.29</v>
      </c>
      <c r="H32" s="116">
        <f t="shared" si="25"/>
        <v>547124.64</v>
      </c>
      <c r="I32" s="116">
        <f t="shared" si="25"/>
        <v>5592038.6900000004</v>
      </c>
      <c r="J32" s="116">
        <f>SUM(F32:I32)</f>
        <v>24188480.16</v>
      </c>
      <c r="K32" s="116">
        <f t="shared" si="3"/>
        <v>36127.01281476835</v>
      </c>
      <c r="L32" s="116">
        <f t="shared" si="4"/>
        <v>27774.952161185291</v>
      </c>
    </row>
    <row r="33" spans="1:12" ht="17.25" customHeight="1">
      <c r="A33" s="250"/>
      <c r="B33" s="116"/>
      <c r="C33" s="123" t="s">
        <v>49</v>
      </c>
      <c r="D33" s="248">
        <v>822</v>
      </c>
      <c r="E33" s="123">
        <v>669.54</v>
      </c>
      <c r="F33" s="123">
        <v>12664026.539999999</v>
      </c>
      <c r="G33" s="123">
        <v>5385290.29</v>
      </c>
      <c r="H33" s="123">
        <v>547124.64</v>
      </c>
      <c r="I33" s="123">
        <v>5592038.6900000004</v>
      </c>
      <c r="J33" s="116">
        <f>SUM(F33:I33)</f>
        <v>24188480.16</v>
      </c>
      <c r="K33" s="116">
        <f t="shared" si="3"/>
        <v>36127.01281476835</v>
      </c>
      <c r="L33" s="116">
        <f t="shared" si="4"/>
        <v>27774.952161185291</v>
      </c>
    </row>
    <row r="34" spans="1:12" s="253" customFormat="1" ht="17.25" customHeight="1">
      <c r="A34" s="243" t="s">
        <v>134</v>
      </c>
      <c r="B34" s="243"/>
      <c r="C34" s="243"/>
      <c r="D34" s="249">
        <f t="shared" ref="D34" si="26">+D35+D38</f>
        <v>101</v>
      </c>
      <c r="E34" s="123">
        <f>+E35+E38</f>
        <v>69.099999999999994</v>
      </c>
      <c r="F34" s="123">
        <f t="shared" ref="F34:I34" si="27">+F35+F38</f>
        <v>1287827.6300000001</v>
      </c>
      <c r="G34" s="123">
        <f t="shared" si="27"/>
        <v>530999.01</v>
      </c>
      <c r="H34" s="123">
        <f t="shared" si="27"/>
        <v>65693.88</v>
      </c>
      <c r="I34" s="123">
        <f t="shared" si="27"/>
        <v>724757.19</v>
      </c>
      <c r="J34" s="116">
        <f t="shared" si="6"/>
        <v>2609277.71</v>
      </c>
      <c r="K34" s="116">
        <f t="shared" si="3"/>
        <v>37760.893053545587</v>
      </c>
      <c r="L34" s="116">
        <f t="shared" si="4"/>
        <v>27272.366425470336</v>
      </c>
    </row>
    <row r="35" spans="1:12" s="253" customFormat="1" ht="17.25" customHeight="1">
      <c r="A35" s="657" t="s">
        <v>111</v>
      </c>
      <c r="B35" s="657"/>
      <c r="C35" s="657"/>
      <c r="D35" s="249">
        <f>+D36</f>
        <v>47</v>
      </c>
      <c r="E35" s="123">
        <f>+E36</f>
        <v>37.06</v>
      </c>
      <c r="F35" s="123">
        <f t="shared" ref="F35:I36" si="28">+F36</f>
        <v>185617.53</v>
      </c>
      <c r="G35" s="123">
        <f t="shared" si="28"/>
        <v>217246.21</v>
      </c>
      <c r="H35" s="123">
        <f t="shared" si="28"/>
        <v>32165.75</v>
      </c>
      <c r="I35" s="123">
        <f t="shared" si="28"/>
        <v>248033.05</v>
      </c>
      <c r="J35" s="116">
        <f t="shared" si="6"/>
        <v>683062.54</v>
      </c>
      <c r="K35" s="116">
        <f t="shared" si="3"/>
        <v>18431.261198057204</v>
      </c>
      <c r="L35" s="116">
        <f t="shared" si="4"/>
        <v>11738.518348623853</v>
      </c>
    </row>
    <row r="36" spans="1:12" s="253" customFormat="1" ht="17.25" customHeight="1">
      <c r="A36" s="116"/>
      <c r="B36" s="653" t="s">
        <v>45</v>
      </c>
      <c r="C36" s="653"/>
      <c r="D36" s="248">
        <f>+D37</f>
        <v>47</v>
      </c>
      <c r="E36" s="116">
        <f>+E37</f>
        <v>37.06</v>
      </c>
      <c r="F36" s="116">
        <f t="shared" si="28"/>
        <v>185617.53</v>
      </c>
      <c r="G36" s="116">
        <f t="shared" si="28"/>
        <v>217246.21</v>
      </c>
      <c r="H36" s="116">
        <f t="shared" si="28"/>
        <v>32165.75</v>
      </c>
      <c r="I36" s="116">
        <f t="shared" si="28"/>
        <v>248033.05</v>
      </c>
      <c r="J36" s="116">
        <f t="shared" si="6"/>
        <v>683062.54</v>
      </c>
      <c r="K36" s="116">
        <f t="shared" si="3"/>
        <v>18431.261198057204</v>
      </c>
      <c r="L36" s="116">
        <f t="shared" si="4"/>
        <v>11738.518348623853</v>
      </c>
    </row>
    <row r="37" spans="1:12" s="253" customFormat="1" ht="17.25" customHeight="1">
      <c r="A37" s="116"/>
      <c r="B37" s="419"/>
      <c r="C37" s="123" t="s">
        <v>152</v>
      </c>
      <c r="D37" s="248">
        <v>47</v>
      </c>
      <c r="E37" s="123">
        <v>37.06</v>
      </c>
      <c r="F37" s="123">
        <v>185617.53</v>
      </c>
      <c r="G37" s="123">
        <v>217246.21</v>
      </c>
      <c r="H37" s="123">
        <v>32165.75</v>
      </c>
      <c r="I37" s="123">
        <v>248033.05</v>
      </c>
      <c r="J37" s="116">
        <f t="shared" si="6"/>
        <v>683062.54</v>
      </c>
      <c r="K37" s="116">
        <f t="shared" si="3"/>
        <v>18431.261198057204</v>
      </c>
      <c r="L37" s="116">
        <f t="shared" si="4"/>
        <v>11738.518348623853</v>
      </c>
    </row>
    <row r="38" spans="1:12" s="253" customFormat="1" ht="17.25" customHeight="1">
      <c r="A38" s="657" t="s">
        <v>112</v>
      </c>
      <c r="B38" s="657"/>
      <c r="C38" s="657"/>
      <c r="D38" s="248">
        <f t="shared" ref="D38:E38" si="29">+D39+D42+D44</f>
        <v>54</v>
      </c>
      <c r="E38" s="116">
        <f t="shared" si="29"/>
        <v>32.04</v>
      </c>
      <c r="F38" s="116">
        <f t="shared" ref="F38:I38" si="30">+F39+F42+F44</f>
        <v>1102210.1000000001</v>
      </c>
      <c r="G38" s="116">
        <f t="shared" si="30"/>
        <v>313752.80000000005</v>
      </c>
      <c r="H38" s="116">
        <f t="shared" si="30"/>
        <v>33528.129999999997</v>
      </c>
      <c r="I38" s="116">
        <f t="shared" si="30"/>
        <v>476724.14</v>
      </c>
      <c r="J38" s="116">
        <f t="shared" si="6"/>
        <v>1926215.17</v>
      </c>
      <c r="K38" s="116">
        <f t="shared" si="3"/>
        <v>60119.075218476901</v>
      </c>
      <c r="L38" s="116">
        <f t="shared" si="4"/>
        <v>45240.044631710363</v>
      </c>
    </row>
    <row r="39" spans="1:12" s="253" customFormat="1" ht="17.25" customHeight="1">
      <c r="A39" s="250"/>
      <c r="B39" s="653" t="s">
        <v>52</v>
      </c>
      <c r="C39" s="653"/>
      <c r="D39" s="248">
        <f t="shared" ref="D39:E39" si="31">+D40+D41</f>
        <v>16</v>
      </c>
      <c r="E39" s="116">
        <f t="shared" si="31"/>
        <v>9.16</v>
      </c>
      <c r="F39" s="116">
        <f t="shared" ref="F39:I39" si="32">+F40+F41</f>
        <v>433360.53</v>
      </c>
      <c r="G39" s="116">
        <f t="shared" si="32"/>
        <v>83857.16</v>
      </c>
      <c r="H39" s="116">
        <f t="shared" si="32"/>
        <v>8873.23</v>
      </c>
      <c r="I39" s="116">
        <f t="shared" si="32"/>
        <v>191921.72999999998</v>
      </c>
      <c r="J39" s="116">
        <f t="shared" si="6"/>
        <v>718012.65</v>
      </c>
      <c r="K39" s="116">
        <f t="shared" si="3"/>
        <v>78385.660480349339</v>
      </c>
      <c r="L39" s="116">
        <f t="shared" si="4"/>
        <v>57433.506550218342</v>
      </c>
    </row>
    <row r="40" spans="1:12" s="253" customFormat="1" ht="17.25" customHeight="1">
      <c r="A40" s="250"/>
      <c r="B40" s="419"/>
      <c r="C40" s="419" t="s">
        <v>153</v>
      </c>
      <c r="D40" s="248">
        <v>12</v>
      </c>
      <c r="E40" s="123">
        <v>6.72</v>
      </c>
      <c r="F40" s="123">
        <v>210978.46</v>
      </c>
      <c r="G40" s="123">
        <v>68024.25</v>
      </c>
      <c r="H40" s="123">
        <v>6624.7</v>
      </c>
      <c r="I40" s="123">
        <v>109370.79</v>
      </c>
      <c r="J40" s="116">
        <f t="shared" si="6"/>
        <v>394998.19999999995</v>
      </c>
      <c r="K40" s="116">
        <f t="shared" si="3"/>
        <v>58779.494047619046</v>
      </c>
      <c r="L40" s="116">
        <f t="shared" si="4"/>
        <v>42504.078869047618</v>
      </c>
    </row>
    <row r="41" spans="1:12" s="253" customFormat="1" ht="17.25" customHeight="1">
      <c r="A41" s="250"/>
      <c r="B41" s="419"/>
      <c r="C41" s="419" t="s">
        <v>53</v>
      </c>
      <c r="D41" s="248">
        <v>4</v>
      </c>
      <c r="E41" s="123">
        <v>2.44</v>
      </c>
      <c r="F41" s="123">
        <v>222382.07</v>
      </c>
      <c r="G41" s="123">
        <v>15832.91</v>
      </c>
      <c r="H41" s="123">
        <v>2248.5300000000002</v>
      </c>
      <c r="I41" s="123">
        <v>82550.94</v>
      </c>
      <c r="J41" s="116">
        <f t="shared" si="6"/>
        <v>323014.45</v>
      </c>
      <c r="K41" s="116">
        <f t="shared" si="3"/>
        <v>132382.97131147541</v>
      </c>
      <c r="L41" s="116">
        <f t="shared" si="4"/>
        <v>98550.618852459025</v>
      </c>
    </row>
    <row r="42" spans="1:12" s="253" customFormat="1" ht="17.25" customHeight="1">
      <c r="A42" s="250"/>
      <c r="B42" s="653" t="s">
        <v>55</v>
      </c>
      <c r="C42" s="653"/>
      <c r="D42" s="248">
        <f t="shared" ref="D42" si="33">+D43</f>
        <v>14</v>
      </c>
      <c r="E42" s="116">
        <f>+E43</f>
        <v>4.5</v>
      </c>
      <c r="F42" s="116">
        <f t="shared" ref="F42:I42" si="34">+F43</f>
        <v>374973.09</v>
      </c>
      <c r="G42" s="116">
        <f t="shared" si="34"/>
        <v>59042.97</v>
      </c>
      <c r="H42" s="116">
        <f t="shared" si="34"/>
        <v>8502.27</v>
      </c>
      <c r="I42" s="116">
        <f t="shared" si="34"/>
        <v>74176.2</v>
      </c>
      <c r="J42" s="116">
        <f t="shared" si="6"/>
        <v>516694.53000000009</v>
      </c>
      <c r="K42" s="116">
        <f t="shared" si="3"/>
        <v>114821.00666666668</v>
      </c>
      <c r="L42" s="116">
        <f t="shared" si="4"/>
        <v>98337.406666666677</v>
      </c>
    </row>
    <row r="43" spans="1:12" s="253" customFormat="1" ht="17.25" customHeight="1">
      <c r="A43" s="250"/>
      <c r="B43" s="116"/>
      <c r="C43" s="419" t="s">
        <v>57</v>
      </c>
      <c r="D43" s="248">
        <v>14</v>
      </c>
      <c r="E43" s="123">
        <v>4.5</v>
      </c>
      <c r="F43" s="123">
        <v>374973.09</v>
      </c>
      <c r="G43" s="123">
        <v>59042.97</v>
      </c>
      <c r="H43" s="123">
        <v>8502.27</v>
      </c>
      <c r="I43" s="123">
        <v>74176.2</v>
      </c>
      <c r="J43" s="116">
        <f t="shared" si="6"/>
        <v>516694.53000000009</v>
      </c>
      <c r="K43" s="116">
        <f t="shared" si="3"/>
        <v>114821.00666666668</v>
      </c>
      <c r="L43" s="116">
        <f t="shared" si="4"/>
        <v>98337.406666666677</v>
      </c>
    </row>
    <row r="44" spans="1:12" s="253" customFormat="1" ht="17.25" customHeight="1">
      <c r="A44" s="250"/>
      <c r="B44" s="653" t="s">
        <v>58</v>
      </c>
      <c r="C44" s="653"/>
      <c r="D44" s="248">
        <f t="shared" ref="D44:I44" si="35">+D45</f>
        <v>24</v>
      </c>
      <c r="E44" s="116">
        <f t="shared" si="35"/>
        <v>18.38</v>
      </c>
      <c r="F44" s="116">
        <f t="shared" si="35"/>
        <v>293876.47999999998</v>
      </c>
      <c r="G44" s="116">
        <f t="shared" si="35"/>
        <v>170852.67</v>
      </c>
      <c r="H44" s="116">
        <f t="shared" si="35"/>
        <v>16152.63</v>
      </c>
      <c r="I44" s="116">
        <f t="shared" si="35"/>
        <v>210626.21</v>
      </c>
      <c r="J44" s="116">
        <f t="shared" si="6"/>
        <v>691507.99</v>
      </c>
      <c r="K44" s="116">
        <f t="shared" si="3"/>
        <v>37622.850380848751</v>
      </c>
      <c r="L44" s="116">
        <f t="shared" si="4"/>
        <v>26163.317736670298</v>
      </c>
    </row>
    <row r="45" spans="1:12" s="253" customFormat="1" ht="17.25" customHeight="1">
      <c r="A45" s="250"/>
      <c r="B45" s="116"/>
      <c r="C45" s="419" t="s">
        <v>59</v>
      </c>
      <c r="D45" s="248">
        <v>24</v>
      </c>
      <c r="E45" s="123">
        <v>18.38</v>
      </c>
      <c r="F45" s="123">
        <v>293876.47999999998</v>
      </c>
      <c r="G45" s="123">
        <v>170852.67</v>
      </c>
      <c r="H45" s="123">
        <v>16152.63</v>
      </c>
      <c r="I45" s="123">
        <v>210626.21</v>
      </c>
      <c r="J45" s="116">
        <f t="shared" si="6"/>
        <v>691507.99</v>
      </c>
      <c r="K45" s="116">
        <f t="shared" si="3"/>
        <v>37622.850380848751</v>
      </c>
      <c r="L45" s="116">
        <f t="shared" si="4"/>
        <v>26163.317736670298</v>
      </c>
    </row>
    <row r="46" spans="1:12" s="252" customFormat="1" ht="17.25" customHeight="1">
      <c r="A46" s="654" t="s">
        <v>157</v>
      </c>
      <c r="B46" s="654"/>
      <c r="C46" s="654"/>
      <c r="D46" s="242">
        <f>+D4+D8+D34</f>
        <v>17666</v>
      </c>
      <c r="E46" s="243">
        <f>+E4+E8+E34</f>
        <v>13871.74</v>
      </c>
      <c r="F46" s="243">
        <f t="shared" ref="F46:J46" si="36">+F4+F8+F34</f>
        <v>317710993.84000003</v>
      </c>
      <c r="G46" s="243">
        <f t="shared" si="36"/>
        <v>104416923.19</v>
      </c>
      <c r="H46" s="243">
        <f t="shared" si="36"/>
        <v>9963717.040000001</v>
      </c>
      <c r="I46" s="243">
        <f t="shared" si="36"/>
        <v>152699974.03999996</v>
      </c>
      <c r="J46" s="243">
        <f t="shared" si="36"/>
        <v>584791608.11000001</v>
      </c>
      <c r="K46" s="418"/>
      <c r="L46" s="418"/>
    </row>
    <row r="47" spans="1:12" s="253" customFormat="1" ht="17.25" customHeight="1">
      <c r="A47" s="254"/>
      <c r="B47" s="254"/>
      <c r="C47" s="254"/>
      <c r="D47" s="427"/>
      <c r="E47" s="254"/>
      <c r="F47" s="254"/>
      <c r="G47" s="254"/>
      <c r="H47" s="254"/>
      <c r="I47" s="254"/>
      <c r="J47" s="254"/>
      <c r="K47" s="254"/>
    </row>
    <row r="48" spans="1:12" s="253" customFormat="1" ht="17.25" customHeight="1">
      <c r="A48" s="254"/>
      <c r="B48" s="254"/>
      <c r="C48" s="254"/>
      <c r="D48" s="427"/>
      <c r="F48" s="254"/>
      <c r="G48" s="254"/>
      <c r="H48" s="254"/>
      <c r="I48" s="254"/>
      <c r="J48" s="254"/>
      <c r="K48" s="254"/>
    </row>
    <row r="49" spans="1:11" s="253" customFormat="1" ht="18.75">
      <c r="A49" s="655" t="s">
        <v>107</v>
      </c>
      <c r="B49" s="655"/>
      <c r="C49" s="655"/>
      <c r="D49" s="655"/>
      <c r="E49" s="655"/>
      <c r="F49" s="655"/>
      <c r="G49" s="655"/>
      <c r="H49" s="655"/>
      <c r="I49" s="655"/>
      <c r="J49" s="655"/>
      <c r="K49" s="655"/>
    </row>
    <row r="50" spans="1:11" s="253" customFormat="1" ht="18.75">
      <c r="A50" s="655" t="s">
        <v>108</v>
      </c>
      <c r="B50" s="655"/>
      <c r="C50" s="655"/>
      <c r="D50" s="655"/>
      <c r="E50" s="655"/>
      <c r="F50" s="655"/>
      <c r="G50" s="655"/>
      <c r="H50" s="655"/>
      <c r="I50" s="655"/>
      <c r="J50" s="655"/>
      <c r="K50" s="655"/>
    </row>
    <row r="51" spans="1:11" ht="18.75">
      <c r="A51" s="656" t="s">
        <v>106</v>
      </c>
      <c r="B51" s="656"/>
      <c r="C51" s="656"/>
      <c r="D51" s="656"/>
      <c r="E51" s="656"/>
      <c r="F51" s="656"/>
      <c r="G51" s="656"/>
      <c r="H51" s="656"/>
      <c r="I51" s="656"/>
      <c r="J51" s="656"/>
      <c r="K51" s="656"/>
    </row>
    <row r="52" spans="1:11" ht="18.75">
      <c r="A52" s="652"/>
      <c r="B52" s="652"/>
      <c r="C52" s="652"/>
      <c r="D52" s="652"/>
      <c r="E52" s="652"/>
      <c r="F52" s="652"/>
      <c r="G52" s="652"/>
      <c r="H52" s="652"/>
      <c r="I52" s="652"/>
      <c r="J52" s="652"/>
      <c r="K52" s="652"/>
    </row>
    <row r="53" spans="1:11" ht="18.75">
      <c r="C53" s="254"/>
      <c r="D53" s="427"/>
      <c r="E53" s="253"/>
      <c r="F53" s="253"/>
    </row>
    <row r="54" spans="1:11" ht="18.75">
      <c r="C54" s="254"/>
      <c r="D54" s="427"/>
      <c r="E54" s="253"/>
      <c r="F54" s="253"/>
    </row>
    <row r="55" spans="1:11" ht="18.75">
      <c r="C55" s="254"/>
      <c r="D55" s="427"/>
      <c r="E55" s="253"/>
      <c r="F55" s="253"/>
    </row>
    <row r="56" spans="1:11" ht="18.75">
      <c r="C56" s="254"/>
      <c r="D56" s="427"/>
      <c r="E56" s="253"/>
      <c r="F56" s="253"/>
      <c r="G56" s="253"/>
      <c r="H56" s="253"/>
      <c r="I56" s="253"/>
      <c r="J56" s="254"/>
    </row>
    <row r="57" spans="1:11" ht="18.75">
      <c r="C57" s="254"/>
      <c r="D57" s="427"/>
      <c r="E57" s="253"/>
      <c r="F57" s="253"/>
      <c r="G57" s="253"/>
      <c r="H57" s="253"/>
      <c r="I57" s="253"/>
      <c r="J57" s="254"/>
    </row>
    <row r="58" spans="1:11" ht="18.75">
      <c r="C58" s="254"/>
      <c r="D58" s="427"/>
      <c r="E58" s="253"/>
      <c r="F58" s="253"/>
      <c r="G58" s="253"/>
      <c r="H58" s="253"/>
      <c r="I58" s="253"/>
      <c r="J58" s="253"/>
    </row>
    <row r="59" spans="1:11" ht="18.75">
      <c r="C59" s="254"/>
      <c r="D59" s="427"/>
      <c r="E59" s="253"/>
      <c r="F59" s="253"/>
      <c r="G59" s="253"/>
      <c r="H59" s="253"/>
      <c r="I59" s="253"/>
      <c r="J59" s="253"/>
    </row>
    <row r="60" spans="1:11" ht="18.75">
      <c r="C60" s="254"/>
      <c r="D60" s="427"/>
      <c r="E60" s="253"/>
      <c r="F60" s="253"/>
      <c r="G60" s="253"/>
      <c r="H60" s="253"/>
      <c r="I60" s="253"/>
      <c r="J60" s="253"/>
    </row>
    <row r="61" spans="1:11" ht="18.75">
      <c r="C61" s="254"/>
      <c r="D61" s="427"/>
      <c r="E61" s="253"/>
      <c r="F61" s="253"/>
    </row>
    <row r="62" spans="1:11" ht="18.75">
      <c r="C62" s="254"/>
      <c r="D62" s="427"/>
      <c r="E62" s="253"/>
      <c r="F62" s="253"/>
      <c r="G62" s="253"/>
      <c r="H62" s="253"/>
      <c r="I62" s="253"/>
      <c r="J62" s="253"/>
    </row>
    <row r="63" spans="1:11" ht="18.75">
      <c r="C63" s="254"/>
      <c r="D63" s="427"/>
      <c r="E63" s="253"/>
      <c r="F63" s="253"/>
    </row>
    <row r="64" spans="1:11" ht="18.75">
      <c r="C64" s="254"/>
      <c r="D64" s="427"/>
      <c r="E64" s="253"/>
      <c r="F64" s="253"/>
    </row>
    <row r="65" spans="3:6" ht="18.75">
      <c r="C65" s="254"/>
      <c r="D65" s="427"/>
      <c r="E65" s="253"/>
      <c r="F65" s="253"/>
    </row>
    <row r="66" spans="3:6" ht="18.75">
      <c r="C66" s="254"/>
      <c r="D66" s="427"/>
      <c r="E66" s="253"/>
      <c r="F66" s="253"/>
    </row>
    <row r="67" spans="3:6" ht="18.75">
      <c r="C67" s="254"/>
      <c r="D67" s="427"/>
      <c r="E67" s="253"/>
      <c r="F67" s="253"/>
    </row>
    <row r="68" spans="3:6" ht="18.75">
      <c r="C68" s="254"/>
      <c r="D68" s="427"/>
      <c r="E68" s="253"/>
      <c r="F68" s="253"/>
    </row>
    <row r="69" spans="3:6" ht="18.75">
      <c r="C69" s="254"/>
      <c r="D69" s="427"/>
      <c r="E69" s="253"/>
      <c r="F69" s="253"/>
    </row>
    <row r="70" spans="3:6" ht="18.75">
      <c r="C70" s="254"/>
      <c r="D70" s="427"/>
      <c r="E70" s="253"/>
      <c r="F70" s="253"/>
    </row>
    <row r="71" spans="3:6" ht="18.75">
      <c r="C71" s="254"/>
      <c r="D71" s="427"/>
      <c r="E71" s="253"/>
      <c r="F71" s="253"/>
    </row>
    <row r="72" spans="3:6" ht="18.75">
      <c r="C72" s="254"/>
      <c r="D72" s="427"/>
      <c r="E72" s="253"/>
      <c r="F72" s="253"/>
    </row>
    <row r="73" spans="3:6" ht="18.75">
      <c r="C73" s="254"/>
      <c r="D73" s="427"/>
      <c r="E73" s="253"/>
      <c r="F73" s="253"/>
    </row>
    <row r="74" spans="3:6" ht="18.75">
      <c r="C74" s="254"/>
      <c r="D74" s="427"/>
      <c r="E74" s="253"/>
      <c r="F74" s="253"/>
    </row>
    <row r="75" spans="3:6" ht="18.75">
      <c r="C75" s="254"/>
      <c r="D75" s="427"/>
      <c r="E75" s="253"/>
      <c r="F75" s="253"/>
    </row>
    <row r="76" spans="3:6" ht="18.75">
      <c r="C76" s="254"/>
      <c r="D76" s="427"/>
      <c r="E76" s="253"/>
      <c r="F76" s="253"/>
    </row>
    <row r="77" spans="3:6" ht="18.75">
      <c r="C77" s="254"/>
      <c r="D77" s="427"/>
      <c r="E77" s="253"/>
      <c r="F77" s="253"/>
    </row>
    <row r="78" spans="3:6" ht="18.75">
      <c r="C78" s="254"/>
      <c r="D78" s="427"/>
      <c r="E78" s="253"/>
      <c r="F78" s="253"/>
    </row>
    <row r="79" spans="3:6" ht="18.75">
      <c r="C79" s="254"/>
      <c r="D79" s="427"/>
      <c r="E79" s="253"/>
      <c r="F79" s="253"/>
    </row>
    <row r="80" spans="3:6" ht="18.75">
      <c r="C80" s="254"/>
      <c r="D80" s="427"/>
      <c r="E80" s="253"/>
      <c r="F80" s="253"/>
    </row>
    <row r="81" spans="3:6" ht="18.75">
      <c r="C81" s="254"/>
      <c r="D81" s="427"/>
      <c r="E81" s="253"/>
      <c r="F81" s="253"/>
    </row>
    <row r="82" spans="3:6" ht="18.75">
      <c r="C82" s="254"/>
      <c r="D82" s="427"/>
      <c r="E82" s="253"/>
      <c r="F82" s="253"/>
    </row>
    <row r="83" spans="3:6" ht="18.75">
      <c r="C83" s="254"/>
      <c r="D83" s="427"/>
      <c r="E83" s="253"/>
      <c r="F83" s="253"/>
    </row>
    <row r="84" spans="3:6" ht="18.75">
      <c r="C84" s="254"/>
      <c r="D84" s="427"/>
      <c r="E84" s="253"/>
      <c r="F84" s="253"/>
    </row>
    <row r="85" spans="3:6" ht="18.75">
      <c r="C85" s="254"/>
      <c r="D85" s="427"/>
      <c r="E85" s="253"/>
      <c r="F85" s="253"/>
    </row>
    <row r="86" spans="3:6" ht="18.75">
      <c r="C86" s="254"/>
      <c r="D86" s="427"/>
      <c r="E86" s="253"/>
      <c r="F86" s="253"/>
    </row>
    <row r="87" spans="3:6" ht="18.75">
      <c r="C87" s="254"/>
      <c r="D87" s="427"/>
      <c r="E87" s="253"/>
      <c r="F87" s="253"/>
    </row>
    <row r="88" spans="3:6" ht="18.75">
      <c r="C88" s="254"/>
      <c r="D88" s="427"/>
      <c r="E88" s="253"/>
      <c r="F88" s="253"/>
    </row>
    <row r="89" spans="3:6" ht="18.75">
      <c r="C89" s="254"/>
      <c r="D89" s="427"/>
      <c r="E89" s="253"/>
      <c r="F89" s="253"/>
    </row>
    <row r="90" spans="3:6" ht="18.75">
      <c r="C90" s="254"/>
      <c r="D90" s="427"/>
      <c r="E90" s="253"/>
      <c r="F90" s="253"/>
    </row>
    <row r="91" spans="3:6" ht="18.75">
      <c r="C91" s="254"/>
      <c r="D91" s="427"/>
      <c r="E91" s="253"/>
      <c r="F91" s="253"/>
    </row>
    <row r="92" spans="3:6" ht="18.75">
      <c r="C92" s="254"/>
      <c r="D92" s="427"/>
      <c r="E92" s="253"/>
      <c r="F92" s="253"/>
    </row>
    <row r="93" spans="3:6" ht="18.75">
      <c r="C93" s="254"/>
      <c r="D93" s="427"/>
      <c r="E93" s="253"/>
      <c r="F93" s="253"/>
    </row>
    <row r="94" spans="3:6" ht="18.75">
      <c r="C94" s="254"/>
      <c r="D94" s="427"/>
      <c r="E94" s="253"/>
      <c r="F94" s="253"/>
    </row>
    <row r="95" spans="3:6" ht="18.75">
      <c r="C95" s="254"/>
      <c r="D95" s="427"/>
      <c r="E95" s="253"/>
      <c r="F95" s="253"/>
    </row>
    <row r="96" spans="3:6" ht="18.75">
      <c r="C96" s="254"/>
      <c r="D96" s="427"/>
      <c r="E96" s="253"/>
      <c r="F96" s="253"/>
    </row>
    <row r="97" spans="3:6" ht="18.75">
      <c r="C97" s="254"/>
      <c r="D97" s="427"/>
      <c r="E97" s="253"/>
      <c r="F97" s="253"/>
    </row>
    <row r="98" spans="3:6" ht="18.75">
      <c r="C98" s="254"/>
      <c r="D98" s="427"/>
      <c r="E98" s="253"/>
      <c r="F98" s="253"/>
    </row>
    <row r="99" spans="3:6" ht="18.75">
      <c r="C99" s="254"/>
      <c r="D99" s="427"/>
      <c r="E99" s="253"/>
      <c r="F99" s="253"/>
    </row>
    <row r="100" spans="3:6" ht="18.75">
      <c r="C100" s="254"/>
      <c r="D100" s="427"/>
      <c r="E100" s="253"/>
      <c r="F100" s="253"/>
    </row>
    <row r="101" spans="3:6" ht="18.75">
      <c r="C101" s="254"/>
      <c r="D101" s="427"/>
      <c r="E101" s="253"/>
      <c r="F101" s="253"/>
    </row>
    <row r="102" spans="3:6" ht="18.75">
      <c r="C102" s="254"/>
      <c r="D102" s="427"/>
      <c r="E102" s="253"/>
      <c r="F102" s="253"/>
    </row>
    <row r="103" spans="3:6" ht="18.75">
      <c r="C103" s="254"/>
      <c r="D103" s="427"/>
      <c r="E103" s="253"/>
      <c r="F103" s="253"/>
    </row>
  </sheetData>
  <mergeCells count="25">
    <mergeCell ref="A9:C9"/>
    <mergeCell ref="A1:K1"/>
    <mergeCell ref="A2:K2"/>
    <mergeCell ref="A3:C3"/>
    <mergeCell ref="A5:C5"/>
    <mergeCell ref="B6:C6"/>
    <mergeCell ref="B39:C39"/>
    <mergeCell ref="B10:C10"/>
    <mergeCell ref="B14:C14"/>
    <mergeCell ref="A16:C16"/>
    <mergeCell ref="B17:C17"/>
    <mergeCell ref="B20:C20"/>
    <mergeCell ref="B23:C23"/>
    <mergeCell ref="B25:C25"/>
    <mergeCell ref="B32:C32"/>
    <mergeCell ref="A35:C35"/>
    <mergeCell ref="B36:C36"/>
    <mergeCell ref="A38:C38"/>
    <mergeCell ref="A52:K52"/>
    <mergeCell ref="B42:C42"/>
    <mergeCell ref="B44:C44"/>
    <mergeCell ref="A46:C46"/>
    <mergeCell ref="A49:K49"/>
    <mergeCell ref="A50:K50"/>
    <mergeCell ref="A51:K51"/>
  </mergeCells>
  <printOptions horizontalCentered="1" verticalCentered="1"/>
  <pageMargins left="0.70866141732283472" right="0.70866141732283472" top="0.27559055118110237" bottom="0.23622047244094491" header="0.23622047244094491" footer="0.15748031496062992"/>
  <pageSetup paperSize="9" scale="7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108"/>
  <sheetViews>
    <sheetView tabSelected="1" zoomScale="90" zoomScaleNormal="90" workbookViewId="0">
      <pane ySplit="3" topLeftCell="A10" activePane="bottomLeft" state="frozen"/>
      <selection activeCell="C1" sqref="C1"/>
      <selection pane="bottomLeft" activeCell="B54" sqref="B54"/>
    </sheetView>
  </sheetViews>
  <sheetFormatPr defaultColWidth="9.140625" defaultRowHeight="17.25" customHeight="1"/>
  <cols>
    <col min="1" max="1" width="16.42578125" style="81" customWidth="1"/>
    <col min="2" max="2" width="10.7109375" style="422" customWidth="1"/>
    <col min="3" max="3" width="45.7109375" style="422" bestFit="1" customWidth="1"/>
    <col min="4" max="4" width="11" style="267" customWidth="1"/>
    <col min="5" max="5" width="11" style="81" customWidth="1"/>
    <col min="6" max="10" width="17.42578125" style="81" customWidth="1"/>
    <col min="11" max="12" width="14.7109375" style="81" customWidth="1"/>
    <col min="13" max="16384" width="9.140625" style="81"/>
  </cols>
  <sheetData>
    <row r="1" spans="1:12" s="256" customFormat="1" ht="17.25" customHeight="1">
      <c r="A1" s="623" t="s">
        <v>431</v>
      </c>
      <c r="B1" s="623"/>
      <c r="C1" s="623"/>
      <c r="D1" s="623"/>
      <c r="E1" s="623"/>
      <c r="F1" s="623"/>
      <c r="G1" s="623"/>
      <c r="H1" s="623"/>
      <c r="I1" s="623"/>
      <c r="J1" s="623"/>
      <c r="K1" s="623"/>
    </row>
    <row r="2" spans="1:12" s="256" customFormat="1" ht="17.25" customHeight="1">
      <c r="A2" s="624" t="s">
        <v>39</v>
      </c>
      <c r="B2" s="624"/>
      <c r="C2" s="624"/>
      <c r="D2" s="624"/>
      <c r="E2" s="624"/>
      <c r="F2" s="624"/>
      <c r="G2" s="624"/>
      <c r="H2" s="624"/>
      <c r="I2" s="624"/>
      <c r="J2" s="624"/>
      <c r="K2" s="624"/>
    </row>
    <row r="3" spans="1:12" s="256" customFormat="1" ht="39.75" customHeight="1">
      <c r="A3" s="625" t="s">
        <v>40</v>
      </c>
      <c r="B3" s="625"/>
      <c r="C3" s="625"/>
      <c r="D3" s="257" t="s">
        <v>105</v>
      </c>
      <c r="E3" s="420" t="s">
        <v>500</v>
      </c>
      <c r="F3" s="420" t="s">
        <v>42</v>
      </c>
      <c r="G3" s="420" t="s">
        <v>43</v>
      </c>
      <c r="H3" s="420" t="s">
        <v>10</v>
      </c>
      <c r="I3" s="421" t="s">
        <v>11</v>
      </c>
      <c r="J3" s="420" t="s">
        <v>44</v>
      </c>
      <c r="K3" s="421" t="s">
        <v>158</v>
      </c>
      <c r="L3" s="421" t="s">
        <v>183</v>
      </c>
    </row>
    <row r="4" spans="1:12" s="256" customFormat="1" ht="17.25" customHeight="1">
      <c r="A4" s="244" t="s">
        <v>135</v>
      </c>
      <c r="B4" s="244"/>
      <c r="C4" s="244"/>
      <c r="D4" s="258">
        <f t="shared" ref="D4:J6" si="0">+D5</f>
        <v>521</v>
      </c>
      <c r="E4" s="244">
        <f t="shared" ref="E4:J4" si="1">+E5</f>
        <v>425.25</v>
      </c>
      <c r="F4" s="244">
        <f t="shared" si="1"/>
        <v>37075259.409999996</v>
      </c>
      <c r="G4" s="244">
        <f t="shared" si="1"/>
        <v>3807135.66</v>
      </c>
      <c r="H4" s="244">
        <f t="shared" si="1"/>
        <v>317152.5</v>
      </c>
      <c r="I4" s="244">
        <f t="shared" si="1"/>
        <v>9365488.0800000001</v>
      </c>
      <c r="J4" s="244">
        <f t="shared" si="1"/>
        <v>50565035.649999991</v>
      </c>
      <c r="K4" s="420">
        <f>+J4/E4</f>
        <v>118906.60940623161</v>
      </c>
      <c r="L4" s="420">
        <f>+(F4+G4+H4)/E4</f>
        <v>96883.12185773073</v>
      </c>
    </row>
    <row r="5" spans="1:12" ht="17.25" customHeight="1">
      <c r="A5" s="620" t="s">
        <v>112</v>
      </c>
      <c r="B5" s="620"/>
      <c r="C5" s="620"/>
      <c r="D5" s="259">
        <f t="shared" si="0"/>
        <v>521</v>
      </c>
      <c r="E5" s="125">
        <f t="shared" si="0"/>
        <v>425.25</v>
      </c>
      <c r="F5" s="125">
        <f t="shared" si="0"/>
        <v>37075259.409999996</v>
      </c>
      <c r="G5" s="125">
        <f t="shared" si="0"/>
        <v>3807135.66</v>
      </c>
      <c r="H5" s="125">
        <f t="shared" si="0"/>
        <v>317152.5</v>
      </c>
      <c r="I5" s="125">
        <f t="shared" si="0"/>
        <v>9365488.0800000001</v>
      </c>
      <c r="J5" s="125">
        <f t="shared" si="0"/>
        <v>50565035.649999991</v>
      </c>
      <c r="K5" s="423">
        <f t="shared" ref="K5:K45" si="2">+J5/E5</f>
        <v>118906.60940623161</v>
      </c>
      <c r="L5" s="423">
        <f t="shared" ref="L5:L45" si="3">+(F5+G5+H5)/E5</f>
        <v>96883.12185773073</v>
      </c>
    </row>
    <row r="6" spans="1:12" ht="17.25" customHeight="1">
      <c r="A6" s="423"/>
      <c r="B6" s="626" t="s">
        <v>58</v>
      </c>
      <c r="C6" s="626"/>
      <c r="D6" s="259">
        <f t="shared" si="0"/>
        <v>521</v>
      </c>
      <c r="E6" s="125">
        <f>+E7</f>
        <v>425.25</v>
      </c>
      <c r="F6" s="125">
        <f t="shared" si="0"/>
        <v>37075259.409999996</v>
      </c>
      <c r="G6" s="125">
        <f t="shared" si="0"/>
        <v>3807135.66</v>
      </c>
      <c r="H6" s="125">
        <f t="shared" si="0"/>
        <v>317152.5</v>
      </c>
      <c r="I6" s="125">
        <f t="shared" si="0"/>
        <v>9365488.0800000001</v>
      </c>
      <c r="J6" s="125">
        <f t="shared" si="0"/>
        <v>50565035.649999991</v>
      </c>
      <c r="K6" s="423">
        <f t="shared" si="2"/>
        <v>118906.60940623161</v>
      </c>
      <c r="L6" s="423">
        <f t="shared" si="3"/>
        <v>96883.12185773073</v>
      </c>
    </row>
    <row r="7" spans="1:12" ht="17.25" customHeight="1">
      <c r="A7" s="423"/>
      <c r="B7" s="423"/>
      <c r="C7" s="424" t="s">
        <v>154</v>
      </c>
      <c r="D7" s="251">
        <v>521</v>
      </c>
      <c r="E7" s="122">
        <v>425.25</v>
      </c>
      <c r="F7" s="122">
        <v>37075259.409999996</v>
      </c>
      <c r="G7" s="122">
        <v>3807135.66</v>
      </c>
      <c r="H7" s="122">
        <v>317152.5</v>
      </c>
      <c r="I7" s="122">
        <v>9365488.0800000001</v>
      </c>
      <c r="J7" s="423">
        <f>SUM(F7:I7)</f>
        <v>50565035.649999991</v>
      </c>
      <c r="K7" s="423">
        <f t="shared" si="2"/>
        <v>118906.60940623161</v>
      </c>
      <c r="L7" s="423">
        <f t="shared" si="3"/>
        <v>96883.12185773073</v>
      </c>
    </row>
    <row r="8" spans="1:12" s="256" customFormat="1" ht="17.25" customHeight="1">
      <c r="A8" s="244" t="s">
        <v>133</v>
      </c>
      <c r="B8" s="244"/>
      <c r="C8" s="244"/>
      <c r="D8" s="258">
        <f t="shared" ref="D8:J8" si="4">+D9+D16</f>
        <v>17044</v>
      </c>
      <c r="E8" s="244">
        <f t="shared" si="4"/>
        <v>13377.39</v>
      </c>
      <c r="F8" s="244">
        <f t="shared" si="4"/>
        <v>765622864.33999991</v>
      </c>
      <c r="G8" s="244">
        <f t="shared" si="4"/>
        <v>152924802.16</v>
      </c>
      <c r="H8" s="244">
        <f t="shared" si="4"/>
        <v>9580870.6600000001</v>
      </c>
      <c r="I8" s="244">
        <f t="shared" si="4"/>
        <v>217372084.12</v>
      </c>
      <c r="J8" s="244">
        <f t="shared" si="4"/>
        <v>1145500621.28</v>
      </c>
      <c r="K8" s="420">
        <f t="shared" si="2"/>
        <v>85629.604973765439</v>
      </c>
      <c r="L8" s="420">
        <f t="shared" si="3"/>
        <v>69380.39013290334</v>
      </c>
    </row>
    <row r="9" spans="1:12" s="422" customFormat="1" ht="17.25" customHeight="1">
      <c r="A9" s="620" t="s">
        <v>111</v>
      </c>
      <c r="B9" s="620"/>
      <c r="C9" s="620"/>
      <c r="D9" s="260">
        <f t="shared" ref="D9:J9" si="5">+D10+D14</f>
        <v>8130</v>
      </c>
      <c r="E9" s="122">
        <f t="shared" si="5"/>
        <v>6503.35</v>
      </c>
      <c r="F9" s="122">
        <f t="shared" si="5"/>
        <v>178385325.45999998</v>
      </c>
      <c r="G9" s="122">
        <f t="shared" si="5"/>
        <v>63255394.899999999</v>
      </c>
      <c r="H9" s="122">
        <f t="shared" si="5"/>
        <v>3940645.21</v>
      </c>
      <c r="I9" s="122">
        <f t="shared" si="5"/>
        <v>33661849.109999999</v>
      </c>
      <c r="J9" s="122">
        <f t="shared" si="5"/>
        <v>279243214.68000001</v>
      </c>
      <c r="K9" s="423">
        <f t="shared" si="2"/>
        <v>42938.364793529487</v>
      </c>
      <c r="L9" s="423">
        <f t="shared" si="3"/>
        <v>37762.286447753846</v>
      </c>
    </row>
    <row r="10" spans="1:12" ht="17.25" customHeight="1">
      <c r="A10" s="128"/>
      <c r="B10" s="619" t="s">
        <v>45</v>
      </c>
      <c r="C10" s="619"/>
      <c r="D10" s="251">
        <f t="shared" ref="D10:J10" si="6">+D11+D12+D13</f>
        <v>6689</v>
      </c>
      <c r="E10" s="423">
        <f t="shared" si="6"/>
        <v>5262.5700000000006</v>
      </c>
      <c r="F10" s="423">
        <f t="shared" si="6"/>
        <v>125440829.63</v>
      </c>
      <c r="G10" s="423">
        <f t="shared" si="6"/>
        <v>46916302.269999996</v>
      </c>
      <c r="H10" s="423">
        <f t="shared" si="6"/>
        <v>2926723.25</v>
      </c>
      <c r="I10" s="423">
        <f t="shared" si="6"/>
        <v>21937403.579999998</v>
      </c>
      <c r="J10" s="423">
        <f t="shared" si="6"/>
        <v>197221258.73000002</v>
      </c>
      <c r="K10" s="423">
        <f t="shared" si="2"/>
        <v>37476.225253060766</v>
      </c>
      <c r="L10" s="423">
        <f t="shared" si="3"/>
        <v>33307.652943333764</v>
      </c>
    </row>
    <row r="11" spans="1:12" ht="17.25" customHeight="1">
      <c r="A11" s="122"/>
      <c r="B11" s="424"/>
      <c r="C11" s="122" t="s">
        <v>46</v>
      </c>
      <c r="D11" s="251">
        <v>2952</v>
      </c>
      <c r="E11" s="122">
        <v>2474.61</v>
      </c>
      <c r="F11" s="122">
        <v>31093773.309999999</v>
      </c>
      <c r="G11" s="122">
        <v>19489070.57</v>
      </c>
      <c r="H11" s="122">
        <v>2020283</v>
      </c>
      <c r="I11" s="122">
        <v>15578586.619999999</v>
      </c>
      <c r="J11" s="423">
        <f t="shared" ref="J11:J28" si="7">SUM(F11:I11)</f>
        <v>68181713.5</v>
      </c>
      <c r="K11" s="423">
        <f t="shared" si="2"/>
        <v>27552.508678135138</v>
      </c>
      <c r="L11" s="423">
        <f t="shared" si="3"/>
        <v>21257.138248047166</v>
      </c>
    </row>
    <row r="12" spans="1:12" ht="17.25" customHeight="1">
      <c r="A12" s="122"/>
      <c r="B12" s="423"/>
      <c r="C12" s="122" t="s">
        <v>47</v>
      </c>
      <c r="D12" s="251">
        <v>2616</v>
      </c>
      <c r="E12" s="122">
        <v>1925.57</v>
      </c>
      <c r="F12" s="122">
        <v>57427664.310000002</v>
      </c>
      <c r="G12" s="122">
        <v>20427115.98</v>
      </c>
      <c r="H12" s="122">
        <v>201725.35</v>
      </c>
      <c r="I12" s="122">
        <v>3767956.04</v>
      </c>
      <c r="J12" s="423">
        <f t="shared" si="7"/>
        <v>81824461.680000007</v>
      </c>
      <c r="K12" s="423">
        <f t="shared" si="2"/>
        <v>42493.631329943863</v>
      </c>
      <c r="L12" s="423">
        <f t="shared" si="3"/>
        <v>40536.830985110901</v>
      </c>
    </row>
    <row r="13" spans="1:12" ht="17.25" customHeight="1">
      <c r="A13" s="122"/>
      <c r="B13" s="423"/>
      <c r="C13" s="122" t="s">
        <v>71</v>
      </c>
      <c r="D13" s="251">
        <v>1121</v>
      </c>
      <c r="E13" s="122">
        <v>862.39</v>
      </c>
      <c r="F13" s="122">
        <v>36919392.009999998</v>
      </c>
      <c r="G13" s="122">
        <v>7000115.7199999997</v>
      </c>
      <c r="H13" s="122">
        <v>704714.9</v>
      </c>
      <c r="I13" s="122">
        <v>2590860.92</v>
      </c>
      <c r="J13" s="423">
        <f t="shared" si="7"/>
        <v>47215083.549999997</v>
      </c>
      <c r="K13" s="423">
        <f t="shared" si="2"/>
        <v>54749.108350050439</v>
      </c>
      <c r="L13" s="423">
        <f t="shared" si="3"/>
        <v>51744.828476675284</v>
      </c>
    </row>
    <row r="14" spans="1:12" ht="17.25" customHeight="1">
      <c r="A14" s="128"/>
      <c r="B14" s="619" t="s">
        <v>50</v>
      </c>
      <c r="C14" s="619"/>
      <c r="D14" s="251">
        <f t="shared" ref="D14:J14" si="8">+D15</f>
        <v>1441</v>
      </c>
      <c r="E14" s="423">
        <f t="shared" si="8"/>
        <v>1240.78</v>
      </c>
      <c r="F14" s="423">
        <f t="shared" si="8"/>
        <v>52944495.829999998</v>
      </c>
      <c r="G14" s="423">
        <f t="shared" si="8"/>
        <v>16339092.630000001</v>
      </c>
      <c r="H14" s="423">
        <f t="shared" si="8"/>
        <v>1013921.96</v>
      </c>
      <c r="I14" s="423">
        <f t="shared" si="8"/>
        <v>11724445.529999999</v>
      </c>
      <c r="J14" s="423">
        <f t="shared" si="8"/>
        <v>82021955.949999988</v>
      </c>
      <c r="K14" s="423">
        <f t="shared" si="2"/>
        <v>66105.156393558878</v>
      </c>
      <c r="L14" s="423">
        <f t="shared" si="3"/>
        <v>56655.902271152008</v>
      </c>
    </row>
    <row r="15" spans="1:12" ht="17.25" customHeight="1">
      <c r="A15" s="122"/>
      <c r="B15" s="423"/>
      <c r="C15" s="424" t="s">
        <v>51</v>
      </c>
      <c r="D15" s="251">
        <v>1441</v>
      </c>
      <c r="E15" s="122">
        <v>1240.78</v>
      </c>
      <c r="F15" s="122">
        <v>52944495.829999998</v>
      </c>
      <c r="G15" s="122">
        <v>16339092.630000001</v>
      </c>
      <c r="H15" s="122">
        <v>1013921.96</v>
      </c>
      <c r="I15" s="122">
        <v>11724445.529999999</v>
      </c>
      <c r="J15" s="423">
        <f t="shared" si="7"/>
        <v>82021955.949999988</v>
      </c>
      <c r="K15" s="423">
        <f t="shared" si="2"/>
        <v>66105.156393558878</v>
      </c>
      <c r="L15" s="423">
        <f t="shared" si="3"/>
        <v>56655.902271152008</v>
      </c>
    </row>
    <row r="16" spans="1:12" ht="17.25" customHeight="1">
      <c r="A16" s="620" t="s">
        <v>112</v>
      </c>
      <c r="B16" s="620"/>
      <c r="C16" s="620"/>
      <c r="D16" s="260">
        <f t="shared" ref="D16:J16" si="9">+D17+D20+D23+D25+D30+D32</f>
        <v>8914</v>
      </c>
      <c r="E16" s="122">
        <f t="shared" si="9"/>
        <v>6874.04</v>
      </c>
      <c r="F16" s="122">
        <f t="shared" si="9"/>
        <v>587237538.88</v>
      </c>
      <c r="G16" s="122">
        <f t="shared" si="9"/>
        <v>89669407.260000005</v>
      </c>
      <c r="H16" s="122">
        <f t="shared" si="9"/>
        <v>5640225.4499999993</v>
      </c>
      <c r="I16" s="122">
        <f t="shared" si="9"/>
        <v>183710235.00999999</v>
      </c>
      <c r="J16" s="122">
        <f t="shared" si="9"/>
        <v>866257406.5999999</v>
      </c>
      <c r="K16" s="423">
        <f t="shared" si="2"/>
        <v>126018.67411303977</v>
      </c>
      <c r="L16" s="423">
        <f t="shared" si="3"/>
        <v>99293.453571698745</v>
      </c>
    </row>
    <row r="17" spans="1:12" ht="17.25" customHeight="1">
      <c r="A17" s="128"/>
      <c r="B17" s="619" t="s">
        <v>52</v>
      </c>
      <c r="C17" s="619"/>
      <c r="D17" s="251">
        <f t="shared" ref="D17:J17" si="10">+D18+D19</f>
        <v>1343</v>
      </c>
      <c r="E17" s="423">
        <f t="shared" si="10"/>
        <v>911.07</v>
      </c>
      <c r="F17" s="423">
        <f t="shared" si="10"/>
        <v>75051815.730000004</v>
      </c>
      <c r="G17" s="423">
        <f t="shared" si="10"/>
        <v>11489824.619999999</v>
      </c>
      <c r="H17" s="423">
        <f t="shared" si="10"/>
        <v>743106.49</v>
      </c>
      <c r="I17" s="423">
        <f t="shared" si="10"/>
        <v>23134423.18</v>
      </c>
      <c r="J17" s="423">
        <f t="shared" si="10"/>
        <v>110419170.02</v>
      </c>
      <c r="K17" s="423">
        <f t="shared" si="2"/>
        <v>121197.24062915033</v>
      </c>
      <c r="L17" s="423">
        <f t="shared" si="3"/>
        <v>95804.654790521032</v>
      </c>
    </row>
    <row r="18" spans="1:12" ht="17.25" customHeight="1">
      <c r="A18" s="128"/>
      <c r="B18" s="423"/>
      <c r="C18" s="424" t="s">
        <v>53</v>
      </c>
      <c r="D18" s="251">
        <v>168</v>
      </c>
      <c r="E18" s="122">
        <v>115.88</v>
      </c>
      <c r="F18" s="122">
        <v>23367531.120000001</v>
      </c>
      <c r="G18" s="122">
        <v>1042977.61</v>
      </c>
      <c r="H18" s="122">
        <v>94438.43</v>
      </c>
      <c r="I18" s="122">
        <v>5658029.2599999998</v>
      </c>
      <c r="J18" s="423">
        <f t="shared" si="7"/>
        <v>30162976.420000002</v>
      </c>
      <c r="K18" s="423">
        <f t="shared" si="2"/>
        <v>260294.92940973424</v>
      </c>
      <c r="L18" s="423">
        <f t="shared" si="3"/>
        <v>211468.30479806697</v>
      </c>
    </row>
    <row r="19" spans="1:12" ht="17.25" customHeight="1">
      <c r="A19" s="128"/>
      <c r="B19" s="423"/>
      <c r="C19" s="424" t="s">
        <v>54</v>
      </c>
      <c r="D19" s="251">
        <v>1175</v>
      </c>
      <c r="E19" s="122">
        <v>795.19</v>
      </c>
      <c r="F19" s="122">
        <v>51684284.609999999</v>
      </c>
      <c r="G19" s="122">
        <v>10446847.01</v>
      </c>
      <c r="H19" s="122">
        <v>648668.06000000006</v>
      </c>
      <c r="I19" s="122">
        <v>17476393.920000002</v>
      </c>
      <c r="J19" s="423">
        <f t="shared" si="7"/>
        <v>80256193.599999994</v>
      </c>
      <c r="K19" s="423">
        <f t="shared" si="2"/>
        <v>100927.06598423017</v>
      </c>
      <c r="L19" s="423">
        <f t="shared" si="3"/>
        <v>78949.43306631119</v>
      </c>
    </row>
    <row r="20" spans="1:12" ht="17.25" customHeight="1">
      <c r="A20" s="128"/>
      <c r="B20" s="619" t="s">
        <v>55</v>
      </c>
      <c r="C20" s="619"/>
      <c r="D20" s="251">
        <f t="shared" ref="D20:J20" si="11">+D21+D22</f>
        <v>2095</v>
      </c>
      <c r="E20" s="423">
        <f t="shared" si="11"/>
        <v>1538.31</v>
      </c>
      <c r="F20" s="423">
        <f t="shared" si="11"/>
        <v>169764142.05000001</v>
      </c>
      <c r="G20" s="423">
        <f t="shared" si="11"/>
        <v>15280172.189999999</v>
      </c>
      <c r="H20" s="423">
        <f t="shared" si="11"/>
        <v>1249978.7399999998</v>
      </c>
      <c r="I20" s="423">
        <f t="shared" si="11"/>
        <v>31275104.859999999</v>
      </c>
      <c r="J20" s="423">
        <f t="shared" si="11"/>
        <v>217569397.83999997</v>
      </c>
      <c r="K20" s="423">
        <f t="shared" si="2"/>
        <v>141434.03984892511</v>
      </c>
      <c r="L20" s="423">
        <f t="shared" si="3"/>
        <v>121103.21910408177</v>
      </c>
    </row>
    <row r="21" spans="1:12" ht="17.25" customHeight="1">
      <c r="A21" s="128"/>
      <c r="B21" s="423"/>
      <c r="C21" s="424" t="s">
        <v>56</v>
      </c>
      <c r="D21" s="251">
        <v>1055</v>
      </c>
      <c r="E21" s="122">
        <v>756.74</v>
      </c>
      <c r="F21" s="122">
        <f>2419054.45+97655294.77</f>
        <v>100074349.22</v>
      </c>
      <c r="G21" s="122">
        <f>0+8400965.54</f>
        <v>8400965.5399999991</v>
      </c>
      <c r="H21" s="122">
        <f>22112.48+596268.94</f>
        <v>618381.41999999993</v>
      </c>
      <c r="I21" s="122">
        <f>2841530.5+19441420.47</f>
        <v>22282950.969999999</v>
      </c>
      <c r="J21" s="423">
        <f t="shared" si="7"/>
        <v>131376647.14999999</v>
      </c>
      <c r="K21" s="423">
        <f t="shared" si="2"/>
        <v>173608.69935512857</v>
      </c>
      <c r="L21" s="423">
        <f t="shared" si="3"/>
        <v>144162.71926949811</v>
      </c>
    </row>
    <row r="22" spans="1:12" ht="17.25" customHeight="1">
      <c r="A22" s="128"/>
      <c r="B22" s="423"/>
      <c r="C22" s="424" t="s">
        <v>57</v>
      </c>
      <c r="D22" s="251">
        <v>1040</v>
      </c>
      <c r="E22" s="122">
        <v>781.57</v>
      </c>
      <c r="F22" s="122">
        <v>69689792.829999998</v>
      </c>
      <c r="G22" s="122">
        <v>6879206.6500000004</v>
      </c>
      <c r="H22" s="122">
        <v>631597.31999999995</v>
      </c>
      <c r="I22" s="122">
        <v>8992153.8900000006</v>
      </c>
      <c r="J22" s="423">
        <f t="shared" si="7"/>
        <v>86192750.689999998</v>
      </c>
      <c r="K22" s="423">
        <f t="shared" si="2"/>
        <v>110281.5495605</v>
      </c>
      <c r="L22" s="423">
        <f t="shared" si="3"/>
        <v>98776.305129418979</v>
      </c>
    </row>
    <row r="23" spans="1:12" ht="17.25" customHeight="1">
      <c r="A23" s="423"/>
      <c r="B23" s="619" t="s">
        <v>155</v>
      </c>
      <c r="C23" s="619"/>
      <c r="D23" s="251">
        <f t="shared" ref="D23:J23" si="12">+D24</f>
        <v>226</v>
      </c>
      <c r="E23" s="423">
        <f t="shared" si="12"/>
        <v>227.53</v>
      </c>
      <c r="F23" s="423">
        <f t="shared" si="12"/>
        <v>79909701.299999997</v>
      </c>
      <c r="G23" s="423">
        <f t="shared" si="12"/>
        <v>7553385.9699999997</v>
      </c>
      <c r="H23" s="423">
        <f t="shared" si="12"/>
        <v>185929.55</v>
      </c>
      <c r="I23" s="423">
        <f t="shared" si="12"/>
        <v>30886645.52</v>
      </c>
      <c r="J23" s="423">
        <f t="shared" si="12"/>
        <v>118535662.33999999</v>
      </c>
      <c r="K23" s="423">
        <f t="shared" si="2"/>
        <v>520967.17944886384</v>
      </c>
      <c r="L23" s="423">
        <f t="shared" si="3"/>
        <v>385219.60541467054</v>
      </c>
    </row>
    <row r="24" spans="1:12" ht="17.25" customHeight="1">
      <c r="A24" s="128"/>
      <c r="B24" s="423"/>
      <c r="C24" s="424" t="s">
        <v>70</v>
      </c>
      <c r="D24" s="251">
        <v>226</v>
      </c>
      <c r="E24" s="122">
        <v>227.53</v>
      </c>
      <c r="F24" s="122">
        <v>79909701.299999997</v>
      </c>
      <c r="G24" s="122">
        <v>7553385.9699999997</v>
      </c>
      <c r="H24" s="122">
        <v>185929.55</v>
      </c>
      <c r="I24" s="122">
        <v>30886645.52</v>
      </c>
      <c r="J24" s="423">
        <f t="shared" si="7"/>
        <v>118535662.33999999</v>
      </c>
      <c r="K24" s="423">
        <f t="shared" si="2"/>
        <v>520967.17944886384</v>
      </c>
      <c r="L24" s="423">
        <f t="shared" si="3"/>
        <v>385219.60541467054</v>
      </c>
    </row>
    <row r="25" spans="1:12" ht="17.25" customHeight="1">
      <c r="A25" s="128"/>
      <c r="B25" s="619" t="s">
        <v>58</v>
      </c>
      <c r="C25" s="619"/>
      <c r="D25" s="251">
        <f t="shared" ref="D25:J25" si="13">+D26+D27+D28+D29</f>
        <v>3324</v>
      </c>
      <c r="E25" s="423">
        <f t="shared" si="13"/>
        <v>2601.2600000000002</v>
      </c>
      <c r="F25" s="423">
        <f t="shared" si="13"/>
        <v>183121414.88</v>
      </c>
      <c r="G25" s="423">
        <f t="shared" si="13"/>
        <v>36898020.869999997</v>
      </c>
      <c r="H25" s="423">
        <f t="shared" si="13"/>
        <v>2157121.6</v>
      </c>
      <c r="I25" s="423">
        <f t="shared" si="13"/>
        <v>73157994.25999999</v>
      </c>
      <c r="J25" s="423">
        <f t="shared" si="13"/>
        <v>295334551.61000001</v>
      </c>
      <c r="K25" s="423">
        <f t="shared" si="2"/>
        <v>113535.19125731375</v>
      </c>
      <c r="L25" s="423">
        <f t="shared" si="3"/>
        <v>85411.130509829847</v>
      </c>
    </row>
    <row r="26" spans="1:12" ht="17.25" customHeight="1">
      <c r="A26" s="122"/>
      <c r="B26" s="423"/>
      <c r="C26" s="424" t="s">
        <v>59</v>
      </c>
      <c r="D26" s="251">
        <v>2493</v>
      </c>
      <c r="E26" s="122">
        <v>2054.65</v>
      </c>
      <c r="F26" s="122">
        <v>76372962.540000007</v>
      </c>
      <c r="G26" s="122">
        <v>27835413.969999999</v>
      </c>
      <c r="H26" s="122">
        <v>1677854.88</v>
      </c>
      <c r="I26" s="122">
        <v>35704034.799999997</v>
      </c>
      <c r="J26" s="423">
        <f>SUM(F26:I26)</f>
        <v>141590266.19</v>
      </c>
      <c r="K26" s="423">
        <f t="shared" si="2"/>
        <v>68912.109697515392</v>
      </c>
      <c r="L26" s="423">
        <f t="shared" si="3"/>
        <v>51534.923899447589</v>
      </c>
    </row>
    <row r="27" spans="1:12" ht="17.25" customHeight="1">
      <c r="A27" s="122"/>
      <c r="B27" s="423"/>
      <c r="C27" s="424" t="s">
        <v>410</v>
      </c>
      <c r="D27" s="251">
        <v>73</v>
      </c>
      <c r="E27" s="122">
        <v>51.5</v>
      </c>
      <c r="F27" s="122">
        <v>4891687.38</v>
      </c>
      <c r="G27" s="122">
        <v>482867.39</v>
      </c>
      <c r="H27" s="122">
        <v>44333.27</v>
      </c>
      <c r="I27" s="122">
        <v>631180.03</v>
      </c>
      <c r="J27" s="423">
        <f t="shared" si="7"/>
        <v>6050068.0699999994</v>
      </c>
      <c r="K27" s="423">
        <f t="shared" si="2"/>
        <v>117477.04990291261</v>
      </c>
      <c r="L27" s="423">
        <f t="shared" si="3"/>
        <v>105221.12699029125</v>
      </c>
    </row>
    <row r="28" spans="1:12" ht="17.25" customHeight="1">
      <c r="A28" s="122"/>
      <c r="B28" s="423"/>
      <c r="C28" s="424" t="s">
        <v>61</v>
      </c>
      <c r="D28" s="251">
        <v>542</v>
      </c>
      <c r="E28" s="122">
        <v>371.34</v>
      </c>
      <c r="F28" s="122">
        <v>86485832.079999998</v>
      </c>
      <c r="G28" s="122">
        <v>7001349.29</v>
      </c>
      <c r="H28" s="122">
        <v>303446.03999999998</v>
      </c>
      <c r="I28" s="122">
        <v>32939966.719999999</v>
      </c>
      <c r="J28" s="423">
        <f t="shared" si="7"/>
        <v>126730594.13000001</v>
      </c>
      <c r="K28" s="423">
        <f t="shared" si="2"/>
        <v>341279.13537458936</v>
      </c>
      <c r="L28" s="423">
        <f t="shared" si="3"/>
        <v>252573.45669736635</v>
      </c>
    </row>
    <row r="29" spans="1:12" ht="17.25" customHeight="1">
      <c r="A29" s="122"/>
      <c r="B29" s="423"/>
      <c r="C29" s="424" t="s">
        <v>62</v>
      </c>
      <c r="D29" s="251">
        <v>216</v>
      </c>
      <c r="E29" s="122">
        <v>123.77</v>
      </c>
      <c r="F29" s="122">
        <v>15370932.880000001</v>
      </c>
      <c r="G29" s="122">
        <v>1578390.22</v>
      </c>
      <c r="H29" s="122">
        <v>131487.41</v>
      </c>
      <c r="I29" s="122">
        <v>3882812.71</v>
      </c>
      <c r="J29" s="423">
        <f>SUM(F29:I29)</f>
        <v>20963623.220000003</v>
      </c>
      <c r="K29" s="423">
        <f t="shared" si="2"/>
        <v>169375.64207804803</v>
      </c>
      <c r="L29" s="423">
        <f t="shared" si="3"/>
        <v>138004.44784681266</v>
      </c>
    </row>
    <row r="30" spans="1:12" ht="17.25" customHeight="1">
      <c r="A30" s="122"/>
      <c r="B30" s="261" t="s">
        <v>156</v>
      </c>
      <c r="C30" s="261"/>
      <c r="D30" s="251">
        <f t="shared" ref="D30:J30" si="14">+D31</f>
        <v>1104</v>
      </c>
      <c r="E30" s="423">
        <f t="shared" si="14"/>
        <v>926.33</v>
      </c>
      <c r="F30" s="423">
        <f t="shared" si="14"/>
        <v>47706787.560000002</v>
      </c>
      <c r="G30" s="423">
        <f t="shared" si="14"/>
        <v>10001557.83</v>
      </c>
      <c r="H30" s="423">
        <f t="shared" si="14"/>
        <v>756964.43</v>
      </c>
      <c r="I30" s="423">
        <f t="shared" si="14"/>
        <v>16130412.73</v>
      </c>
      <c r="J30" s="423">
        <f t="shared" si="14"/>
        <v>74595722.549999997</v>
      </c>
      <c r="K30" s="423">
        <f t="shared" si="2"/>
        <v>80528.237831010541</v>
      </c>
      <c r="L30" s="423">
        <f t="shared" si="3"/>
        <v>63114.991223430094</v>
      </c>
    </row>
    <row r="31" spans="1:12" ht="17.25" customHeight="1">
      <c r="A31" s="122"/>
      <c r="B31" s="423"/>
      <c r="C31" s="424" t="s">
        <v>60</v>
      </c>
      <c r="D31" s="251">
        <v>1104</v>
      </c>
      <c r="E31" s="122">
        <v>926.33</v>
      </c>
      <c r="F31" s="122">
        <v>47706787.560000002</v>
      </c>
      <c r="G31" s="122">
        <v>10001557.83</v>
      </c>
      <c r="H31" s="122">
        <v>756964.43</v>
      </c>
      <c r="I31" s="122">
        <v>16130412.73</v>
      </c>
      <c r="J31" s="423">
        <f>SUM(F31:I31)</f>
        <v>74595722.549999997</v>
      </c>
      <c r="K31" s="423">
        <f t="shared" si="2"/>
        <v>80528.237831010541</v>
      </c>
      <c r="L31" s="423">
        <f t="shared" si="3"/>
        <v>63114.991223430094</v>
      </c>
    </row>
    <row r="32" spans="1:12" ht="17.25" customHeight="1">
      <c r="A32" s="128"/>
      <c r="B32" s="619" t="s">
        <v>48</v>
      </c>
      <c r="C32" s="619"/>
      <c r="D32" s="251">
        <f t="shared" ref="D32:J32" si="15">+D33</f>
        <v>822</v>
      </c>
      <c r="E32" s="423">
        <f t="shared" si="15"/>
        <v>669.54</v>
      </c>
      <c r="F32" s="423">
        <f t="shared" si="15"/>
        <v>31683677.359999999</v>
      </c>
      <c r="G32" s="423">
        <f t="shared" si="15"/>
        <v>8446445.7799999993</v>
      </c>
      <c r="H32" s="423">
        <f t="shared" si="15"/>
        <v>547124.64</v>
      </c>
      <c r="I32" s="423">
        <f t="shared" si="15"/>
        <v>9125654.4600000009</v>
      </c>
      <c r="J32" s="423">
        <f t="shared" si="15"/>
        <v>49802902.240000002</v>
      </c>
      <c r="K32" s="423">
        <f t="shared" si="2"/>
        <v>74383.759357170595</v>
      </c>
      <c r="L32" s="423">
        <f t="shared" si="3"/>
        <v>60754.021835887332</v>
      </c>
    </row>
    <row r="33" spans="1:12" ht="17.25" customHeight="1">
      <c r="A33" s="128"/>
      <c r="B33" s="423"/>
      <c r="C33" s="122" t="s">
        <v>49</v>
      </c>
      <c r="D33" s="251">
        <v>822</v>
      </c>
      <c r="E33" s="122">
        <v>669.54</v>
      </c>
      <c r="F33" s="122">
        <v>31683677.359999999</v>
      </c>
      <c r="G33" s="122">
        <v>8446445.7799999993</v>
      </c>
      <c r="H33" s="122">
        <v>547124.64</v>
      </c>
      <c r="I33" s="122">
        <v>9125654.4600000009</v>
      </c>
      <c r="J33" s="423">
        <f>SUM(F33:I33)</f>
        <v>49802902.240000002</v>
      </c>
      <c r="K33" s="423">
        <f t="shared" si="2"/>
        <v>74383.759357170595</v>
      </c>
      <c r="L33" s="423">
        <f t="shared" si="3"/>
        <v>60754.021835887332</v>
      </c>
    </row>
    <row r="34" spans="1:12" s="262" customFormat="1" ht="17.25" customHeight="1">
      <c r="A34" s="244" t="s">
        <v>134</v>
      </c>
      <c r="B34" s="244"/>
      <c r="C34" s="244"/>
      <c r="D34" s="258">
        <f t="shared" ref="D34:J34" si="16">+D35+D38</f>
        <v>101</v>
      </c>
      <c r="E34" s="244">
        <f t="shared" si="16"/>
        <v>69.099999999999994</v>
      </c>
      <c r="F34" s="244">
        <f>+F35+F38</f>
        <v>3252636.92</v>
      </c>
      <c r="G34" s="244">
        <f t="shared" si="16"/>
        <v>802392.46</v>
      </c>
      <c r="H34" s="244">
        <f t="shared" si="16"/>
        <v>65693.88</v>
      </c>
      <c r="I34" s="244">
        <f t="shared" si="16"/>
        <v>1025999.73</v>
      </c>
      <c r="J34" s="244">
        <f t="shared" si="16"/>
        <v>5146722.99</v>
      </c>
      <c r="K34" s="420">
        <f t="shared" si="2"/>
        <v>74482.24298118669</v>
      </c>
      <c r="L34" s="420">
        <f t="shared" si="3"/>
        <v>59634.200578871205</v>
      </c>
    </row>
    <row r="35" spans="1:12" s="78" customFormat="1" ht="17.25" customHeight="1">
      <c r="A35" s="620" t="s">
        <v>111</v>
      </c>
      <c r="B35" s="620"/>
      <c r="C35" s="620"/>
      <c r="D35" s="260">
        <f>+D36</f>
        <v>47</v>
      </c>
      <c r="E35" s="122">
        <f>+E36</f>
        <v>37.06</v>
      </c>
      <c r="F35" s="122">
        <f t="shared" ref="F35:J36" si="17">+F36</f>
        <v>495056.69</v>
      </c>
      <c r="G35" s="122">
        <f t="shared" si="17"/>
        <v>310293.46999999997</v>
      </c>
      <c r="H35" s="122">
        <f t="shared" si="17"/>
        <v>32165.75</v>
      </c>
      <c r="I35" s="122">
        <f t="shared" si="17"/>
        <v>248033.05</v>
      </c>
      <c r="J35" s="122">
        <f t="shared" si="17"/>
        <v>1085548.96</v>
      </c>
      <c r="K35" s="423">
        <f t="shared" si="2"/>
        <v>29291.661090124122</v>
      </c>
      <c r="L35" s="423">
        <f t="shared" si="3"/>
        <v>22598.918240690768</v>
      </c>
    </row>
    <row r="36" spans="1:12" s="78" customFormat="1" ht="17.25" customHeight="1">
      <c r="A36" s="423"/>
      <c r="B36" s="621" t="s">
        <v>45</v>
      </c>
      <c r="C36" s="622"/>
      <c r="D36" s="251">
        <f>+D37</f>
        <v>47</v>
      </c>
      <c r="E36" s="423">
        <f>+E37</f>
        <v>37.06</v>
      </c>
      <c r="F36" s="423">
        <f>+F37</f>
        <v>495056.69</v>
      </c>
      <c r="G36" s="423">
        <f t="shared" si="17"/>
        <v>310293.46999999997</v>
      </c>
      <c r="H36" s="423">
        <f t="shared" si="17"/>
        <v>32165.75</v>
      </c>
      <c r="I36" s="423">
        <f t="shared" si="17"/>
        <v>248033.05</v>
      </c>
      <c r="J36" s="423">
        <f t="shared" si="17"/>
        <v>1085548.96</v>
      </c>
      <c r="K36" s="423">
        <f t="shared" si="2"/>
        <v>29291.661090124122</v>
      </c>
      <c r="L36" s="423">
        <f t="shared" si="3"/>
        <v>22598.918240690768</v>
      </c>
    </row>
    <row r="37" spans="1:12" s="78" customFormat="1" ht="17.25" customHeight="1">
      <c r="A37" s="423"/>
      <c r="B37" s="424"/>
      <c r="C37" s="122" t="s">
        <v>152</v>
      </c>
      <c r="D37" s="251">
        <v>47</v>
      </c>
      <c r="E37" s="122">
        <v>37.06</v>
      </c>
      <c r="F37" s="122">
        <v>495056.69</v>
      </c>
      <c r="G37" s="122">
        <v>310293.46999999997</v>
      </c>
      <c r="H37" s="122">
        <v>32165.75</v>
      </c>
      <c r="I37" s="122">
        <v>248033.05</v>
      </c>
      <c r="J37" s="423">
        <f>SUM(F37:I37)</f>
        <v>1085548.96</v>
      </c>
      <c r="K37" s="423">
        <f t="shared" si="2"/>
        <v>29291.661090124122</v>
      </c>
      <c r="L37" s="423">
        <f t="shared" si="3"/>
        <v>22598.918240690768</v>
      </c>
    </row>
    <row r="38" spans="1:12" s="78" customFormat="1" ht="17.25" customHeight="1">
      <c r="A38" s="620" t="s">
        <v>112</v>
      </c>
      <c r="B38" s="620"/>
      <c r="C38" s="620"/>
      <c r="D38" s="251">
        <f t="shared" ref="D38:J38" si="18">+D39+D42+D44</f>
        <v>54</v>
      </c>
      <c r="E38" s="423">
        <f t="shared" si="18"/>
        <v>32.04</v>
      </c>
      <c r="F38" s="423">
        <f>+F39+F42+F44</f>
        <v>2757580.23</v>
      </c>
      <c r="G38" s="423">
        <f t="shared" si="18"/>
        <v>492098.99</v>
      </c>
      <c r="H38" s="423">
        <f t="shared" si="18"/>
        <v>33528.129999999997</v>
      </c>
      <c r="I38" s="423">
        <f t="shared" si="18"/>
        <v>777966.68</v>
      </c>
      <c r="J38" s="423">
        <f t="shared" si="18"/>
        <v>4061174.0300000003</v>
      </c>
      <c r="K38" s="423">
        <f t="shared" si="2"/>
        <v>126753.24687890138</v>
      </c>
      <c r="L38" s="423">
        <f t="shared" si="3"/>
        <v>102472.1395131086</v>
      </c>
    </row>
    <row r="39" spans="1:12" s="78" customFormat="1" ht="17.25" customHeight="1">
      <c r="A39" s="128"/>
      <c r="B39" s="619" t="s">
        <v>52</v>
      </c>
      <c r="C39" s="619"/>
      <c r="D39" s="251">
        <f t="shared" ref="D39:J39" si="19">+D40+D41</f>
        <v>16</v>
      </c>
      <c r="E39" s="423">
        <f t="shared" si="19"/>
        <v>9.16</v>
      </c>
      <c r="F39" s="423">
        <f t="shared" si="19"/>
        <v>1084209.29</v>
      </c>
      <c r="G39" s="423">
        <f t="shared" si="19"/>
        <v>131524</v>
      </c>
      <c r="H39" s="423">
        <f t="shared" si="19"/>
        <v>8873.23</v>
      </c>
      <c r="I39" s="423">
        <f t="shared" si="19"/>
        <v>313197.30000000005</v>
      </c>
      <c r="J39" s="423">
        <f t="shared" si="19"/>
        <v>1537803.82</v>
      </c>
      <c r="K39" s="423">
        <f t="shared" si="2"/>
        <v>167882.51310043668</v>
      </c>
      <c r="L39" s="423">
        <f t="shared" si="3"/>
        <v>133690.66812227076</v>
      </c>
    </row>
    <row r="40" spans="1:12" s="78" customFormat="1" ht="17.25" customHeight="1">
      <c r="A40" s="128"/>
      <c r="B40" s="424"/>
      <c r="C40" s="424" t="s">
        <v>153</v>
      </c>
      <c r="D40" s="251">
        <v>12</v>
      </c>
      <c r="E40" s="122">
        <v>6.72</v>
      </c>
      <c r="F40" s="122">
        <v>527839.5</v>
      </c>
      <c r="G40" s="122">
        <v>106691.2</v>
      </c>
      <c r="H40" s="122">
        <v>6624.7</v>
      </c>
      <c r="I40" s="122">
        <v>178482.32</v>
      </c>
      <c r="J40" s="423">
        <f>SUM(F40:I40)</f>
        <v>819637.72</v>
      </c>
      <c r="K40" s="423">
        <f t="shared" si="2"/>
        <v>121969.89880952382</v>
      </c>
      <c r="L40" s="423">
        <f t="shared" si="3"/>
        <v>95410.029761904749</v>
      </c>
    </row>
    <row r="41" spans="1:12" s="78" customFormat="1" ht="17.25" customHeight="1">
      <c r="A41" s="128"/>
      <c r="B41" s="424"/>
      <c r="C41" s="424" t="s">
        <v>53</v>
      </c>
      <c r="D41" s="251">
        <v>4</v>
      </c>
      <c r="E41" s="122">
        <v>2.44</v>
      </c>
      <c r="F41" s="122">
        <v>556369.79</v>
      </c>
      <c r="G41" s="122">
        <v>24832.799999999999</v>
      </c>
      <c r="H41" s="122">
        <v>2248.5300000000002</v>
      </c>
      <c r="I41" s="122">
        <v>134714.98000000001</v>
      </c>
      <c r="J41" s="423">
        <f>SUM(F41:I41)</f>
        <v>718166.10000000009</v>
      </c>
      <c r="K41" s="423">
        <f t="shared" si="2"/>
        <v>294330.36885245907</v>
      </c>
      <c r="L41" s="423">
        <f t="shared" si="3"/>
        <v>239119.31147540989</v>
      </c>
    </row>
    <row r="42" spans="1:12" s="78" customFormat="1" ht="17.25" customHeight="1">
      <c r="A42" s="128"/>
      <c r="B42" s="619" t="s">
        <v>55</v>
      </c>
      <c r="C42" s="619"/>
      <c r="D42" s="251">
        <f t="shared" ref="D42:J42" si="20">+D43</f>
        <v>14</v>
      </c>
      <c r="E42" s="423">
        <f t="shared" si="20"/>
        <v>4.5</v>
      </c>
      <c r="F42" s="423">
        <f t="shared" si="20"/>
        <v>938131.83</v>
      </c>
      <c r="G42" s="423">
        <f t="shared" si="20"/>
        <v>92604.7</v>
      </c>
      <c r="H42" s="423">
        <f t="shared" si="20"/>
        <v>8502.27</v>
      </c>
      <c r="I42" s="423">
        <f t="shared" si="20"/>
        <v>121048.23</v>
      </c>
      <c r="J42" s="423">
        <f t="shared" si="20"/>
        <v>1160287.03</v>
      </c>
      <c r="K42" s="423">
        <f t="shared" si="2"/>
        <v>257841.56222222222</v>
      </c>
      <c r="L42" s="423">
        <f t="shared" si="3"/>
        <v>230941.95555555553</v>
      </c>
    </row>
    <row r="43" spans="1:12" s="78" customFormat="1" ht="17.25" customHeight="1">
      <c r="A43" s="128"/>
      <c r="B43" s="423"/>
      <c r="C43" s="424" t="s">
        <v>57</v>
      </c>
      <c r="D43" s="251">
        <v>14</v>
      </c>
      <c r="E43" s="122">
        <v>4.5</v>
      </c>
      <c r="F43" s="122">
        <v>938131.83</v>
      </c>
      <c r="G43" s="122">
        <v>92604.7</v>
      </c>
      <c r="H43" s="122">
        <v>8502.27</v>
      </c>
      <c r="I43" s="122">
        <v>121048.23</v>
      </c>
      <c r="J43" s="423">
        <f>SUM(F43:I43)</f>
        <v>1160287.03</v>
      </c>
      <c r="K43" s="423">
        <f t="shared" si="2"/>
        <v>257841.56222222222</v>
      </c>
      <c r="L43" s="423">
        <f t="shared" si="3"/>
        <v>230941.95555555553</v>
      </c>
    </row>
    <row r="44" spans="1:12" s="78" customFormat="1" ht="17.25" customHeight="1">
      <c r="A44" s="128"/>
      <c r="B44" s="619" t="s">
        <v>58</v>
      </c>
      <c r="C44" s="619"/>
      <c r="D44" s="251">
        <f t="shared" ref="D44:J44" si="21">+D45</f>
        <v>24</v>
      </c>
      <c r="E44" s="423">
        <f t="shared" si="21"/>
        <v>18.38</v>
      </c>
      <c r="F44" s="423">
        <f t="shared" si="21"/>
        <v>735239.11</v>
      </c>
      <c r="G44" s="423">
        <f t="shared" si="21"/>
        <v>267970.28999999998</v>
      </c>
      <c r="H44" s="423">
        <f t="shared" si="21"/>
        <v>16152.63</v>
      </c>
      <c r="I44" s="423">
        <f t="shared" si="21"/>
        <v>343721.15</v>
      </c>
      <c r="J44" s="423">
        <f t="shared" si="21"/>
        <v>1363083.18</v>
      </c>
      <c r="K44" s="423">
        <f t="shared" si="2"/>
        <v>74161.217627856371</v>
      </c>
      <c r="L44" s="423">
        <f t="shared" si="3"/>
        <v>55460.393362350376</v>
      </c>
    </row>
    <row r="45" spans="1:12" s="78" customFormat="1" ht="17.25" customHeight="1" thickBot="1">
      <c r="A45" s="263"/>
      <c r="B45" s="264"/>
      <c r="C45" s="429" t="s">
        <v>59</v>
      </c>
      <c r="D45" s="430">
        <v>24</v>
      </c>
      <c r="E45" s="130">
        <v>18.38</v>
      </c>
      <c r="F45" s="130">
        <v>735239.11</v>
      </c>
      <c r="G45" s="130">
        <v>267970.28999999998</v>
      </c>
      <c r="H45" s="130">
        <v>16152.63</v>
      </c>
      <c r="I45" s="130">
        <v>343721.15</v>
      </c>
      <c r="J45" s="264">
        <f>SUM(F45:I45)</f>
        <v>1363083.18</v>
      </c>
      <c r="K45" s="264">
        <f t="shared" si="2"/>
        <v>74161.217627856371</v>
      </c>
      <c r="L45" s="264">
        <f t="shared" si="3"/>
        <v>55460.393362350376</v>
      </c>
    </row>
    <row r="46" spans="1:12" s="262" customFormat="1" ht="17.25" customHeight="1" thickTop="1" thickBot="1">
      <c r="A46" s="618" t="s">
        <v>157</v>
      </c>
      <c r="B46" s="618"/>
      <c r="C46" s="618"/>
      <c r="D46" s="431">
        <f>+D4+D8+D34</f>
        <v>17666</v>
      </c>
      <c r="E46" s="432">
        <f>+E4+E8+E34</f>
        <v>13871.74</v>
      </c>
      <c r="F46" s="432">
        <f>+F4+F8+F34</f>
        <v>805950760.66999984</v>
      </c>
      <c r="G46" s="432">
        <f t="shared" ref="G46:I46" si="22">+G4+G8+G34</f>
        <v>157534330.28</v>
      </c>
      <c r="H46" s="432">
        <f t="shared" si="22"/>
        <v>9963717.040000001</v>
      </c>
      <c r="I46" s="432">
        <f t="shared" si="22"/>
        <v>227763571.93000001</v>
      </c>
      <c r="J46" s="432">
        <f>+J4+J8+J34</f>
        <v>1201212379.9200001</v>
      </c>
      <c r="K46" s="355"/>
      <c r="L46" s="355"/>
    </row>
    <row r="47" spans="1:12" s="262" customFormat="1" ht="17.25" customHeight="1" thickTop="1">
      <c r="A47" s="359"/>
      <c r="B47" s="359"/>
      <c r="C47" s="359"/>
      <c r="D47" s="433"/>
      <c r="K47" s="359"/>
      <c r="L47" s="359"/>
    </row>
    <row r="48" spans="1:12" s="262" customFormat="1" ht="17.25" customHeight="1">
      <c r="A48" s="359"/>
      <c r="B48" s="359"/>
      <c r="C48" s="359"/>
      <c r="D48" s="433"/>
      <c r="K48" s="359"/>
      <c r="L48" s="359"/>
    </row>
    <row r="49" spans="1:12" s="262" customFormat="1" ht="17.25" customHeight="1">
      <c r="A49" s="359"/>
      <c r="B49" s="359"/>
      <c r="C49" s="359"/>
      <c r="D49" s="433"/>
      <c r="K49" s="359"/>
      <c r="L49" s="359"/>
    </row>
    <row r="50" spans="1:12" s="262" customFormat="1" ht="17.25" customHeight="1">
      <c r="A50" s="359"/>
      <c r="B50" s="359"/>
      <c r="C50" s="359"/>
      <c r="D50" s="433"/>
      <c r="K50" s="359"/>
      <c r="L50" s="359"/>
    </row>
    <row r="51" spans="1:12" s="262" customFormat="1" ht="17.25" customHeight="1">
      <c r="A51" s="359"/>
      <c r="B51" s="359"/>
      <c r="C51" s="359"/>
      <c r="D51" s="433"/>
      <c r="K51" s="359"/>
      <c r="L51" s="359"/>
    </row>
    <row r="52" spans="1:12" s="262" customFormat="1" ht="17.25" customHeight="1">
      <c r="A52" s="359"/>
      <c r="B52" s="359"/>
      <c r="C52" s="359"/>
      <c r="D52" s="433"/>
      <c r="K52" s="359"/>
      <c r="L52" s="359"/>
    </row>
    <row r="53" spans="1:12" s="262" customFormat="1" ht="17.25" customHeight="1">
      <c r="A53" s="359"/>
      <c r="B53" s="359"/>
      <c r="C53" s="359"/>
      <c r="D53" s="433"/>
      <c r="K53" s="359"/>
      <c r="L53" s="359"/>
    </row>
    <row r="54" spans="1:12" s="262" customFormat="1" ht="39" customHeight="1">
      <c r="A54" s="359"/>
      <c r="B54" s="359"/>
      <c r="C54" s="359"/>
      <c r="D54" s="433"/>
      <c r="K54" s="359"/>
      <c r="L54" s="359"/>
    </row>
    <row r="55" spans="1:12" s="78" customFormat="1" ht="17.25" customHeight="1">
      <c r="A55" s="615" t="s">
        <v>107</v>
      </c>
      <c r="B55" s="615"/>
      <c r="C55" s="615"/>
      <c r="D55" s="615"/>
      <c r="E55" s="615"/>
      <c r="F55" s="615"/>
      <c r="G55" s="615"/>
      <c r="H55" s="615"/>
      <c r="I55" s="615"/>
      <c r="J55" s="615"/>
      <c r="K55" s="615"/>
    </row>
    <row r="56" spans="1:12" s="78" customFormat="1" ht="18.75">
      <c r="A56" s="615" t="s">
        <v>108</v>
      </c>
      <c r="B56" s="615"/>
      <c r="C56" s="615"/>
      <c r="D56" s="615"/>
      <c r="E56" s="615"/>
      <c r="F56" s="615"/>
      <c r="G56" s="615"/>
      <c r="H56" s="615"/>
      <c r="I56" s="615"/>
      <c r="J56" s="615"/>
      <c r="K56" s="615"/>
    </row>
    <row r="57" spans="1:12" ht="18.75">
      <c r="A57" s="616" t="s">
        <v>106</v>
      </c>
      <c r="B57" s="616"/>
      <c r="C57" s="616"/>
      <c r="D57" s="616"/>
      <c r="E57" s="616"/>
      <c r="F57" s="616"/>
      <c r="G57" s="616"/>
      <c r="H57" s="616"/>
      <c r="I57" s="616"/>
      <c r="J57" s="616"/>
      <c r="K57" s="616"/>
    </row>
    <row r="58" spans="1:12" ht="18.75">
      <c r="A58" s="617"/>
      <c r="B58" s="617"/>
      <c r="C58" s="617"/>
      <c r="D58" s="617"/>
      <c r="E58" s="617"/>
      <c r="F58" s="617"/>
      <c r="G58" s="617"/>
      <c r="H58" s="617"/>
      <c r="I58" s="617"/>
      <c r="J58" s="617"/>
      <c r="K58" s="617"/>
    </row>
    <row r="59" spans="1:12" ht="18.75">
      <c r="C59" s="265"/>
      <c r="D59" s="266"/>
      <c r="E59" s="78"/>
      <c r="F59" s="78"/>
    </row>
    <row r="60" spans="1:12" ht="18.75">
      <c r="C60" s="265"/>
      <c r="D60" s="266"/>
      <c r="E60" s="78"/>
      <c r="F60" s="78"/>
    </row>
    <row r="61" spans="1:12" ht="18.75">
      <c r="C61" s="265"/>
      <c r="D61" s="266"/>
      <c r="E61" s="78"/>
      <c r="F61" s="78"/>
    </row>
    <row r="62" spans="1:12" ht="18.75">
      <c r="C62" s="265"/>
      <c r="D62" s="266"/>
      <c r="E62" s="78"/>
      <c r="F62" s="78"/>
    </row>
    <row r="63" spans="1:12" ht="18.75">
      <c r="C63" s="265"/>
      <c r="D63" s="266"/>
      <c r="E63" s="78"/>
      <c r="F63" s="78"/>
    </row>
    <row r="64" spans="1:12" ht="18.75">
      <c r="C64" s="265"/>
      <c r="D64" s="266"/>
      <c r="E64" s="78"/>
      <c r="F64" s="78"/>
    </row>
    <row r="65" spans="3:6" ht="18.75">
      <c r="C65" s="265"/>
      <c r="D65" s="266"/>
      <c r="E65" s="78"/>
      <c r="F65" s="78"/>
    </row>
    <row r="66" spans="3:6" ht="18.75">
      <c r="C66" s="265"/>
      <c r="D66" s="266"/>
      <c r="E66" s="78"/>
      <c r="F66" s="78"/>
    </row>
    <row r="67" spans="3:6" ht="18.75">
      <c r="C67" s="265"/>
      <c r="D67" s="266"/>
      <c r="E67" s="78"/>
      <c r="F67" s="78"/>
    </row>
    <row r="68" spans="3:6" ht="18.75">
      <c r="C68" s="265"/>
      <c r="D68" s="266"/>
      <c r="E68" s="78"/>
      <c r="F68" s="78"/>
    </row>
    <row r="69" spans="3:6" ht="18.75">
      <c r="C69" s="265"/>
      <c r="D69" s="266"/>
      <c r="E69" s="78"/>
      <c r="F69" s="78"/>
    </row>
    <row r="70" spans="3:6" ht="18.75">
      <c r="C70" s="265"/>
      <c r="D70" s="266"/>
      <c r="E70" s="78"/>
      <c r="F70" s="78"/>
    </row>
    <row r="71" spans="3:6" ht="18.75">
      <c r="C71" s="265"/>
      <c r="D71" s="266"/>
      <c r="E71" s="78"/>
      <c r="F71" s="78"/>
    </row>
    <row r="72" spans="3:6" ht="18.75">
      <c r="C72" s="265"/>
      <c r="D72" s="266"/>
      <c r="E72" s="78"/>
      <c r="F72" s="78"/>
    </row>
    <row r="73" spans="3:6" ht="18.75">
      <c r="C73" s="265"/>
      <c r="D73" s="266"/>
      <c r="E73" s="78"/>
      <c r="F73" s="78"/>
    </row>
    <row r="74" spans="3:6" ht="18.75">
      <c r="C74" s="265"/>
      <c r="D74" s="266"/>
      <c r="E74" s="78"/>
      <c r="F74" s="78"/>
    </row>
    <row r="75" spans="3:6" ht="18.75">
      <c r="C75" s="265"/>
      <c r="D75" s="266"/>
      <c r="E75" s="78"/>
      <c r="F75" s="78"/>
    </row>
    <row r="76" spans="3:6" ht="18.75">
      <c r="C76" s="265"/>
      <c r="D76" s="266"/>
      <c r="E76" s="78"/>
      <c r="F76" s="78"/>
    </row>
    <row r="77" spans="3:6" ht="18.75">
      <c r="C77" s="265"/>
      <c r="D77" s="266"/>
      <c r="E77" s="78"/>
      <c r="F77" s="78"/>
    </row>
    <row r="78" spans="3:6" ht="18.75">
      <c r="C78" s="265"/>
      <c r="D78" s="266"/>
      <c r="E78" s="78"/>
      <c r="F78" s="78"/>
    </row>
    <row r="79" spans="3:6" ht="18.75">
      <c r="C79" s="265"/>
      <c r="D79" s="266"/>
      <c r="E79" s="78"/>
      <c r="F79" s="78"/>
    </row>
    <row r="80" spans="3:6" ht="18.75">
      <c r="C80" s="265"/>
      <c r="D80" s="266"/>
      <c r="E80" s="78"/>
      <c r="F80" s="78"/>
    </row>
    <row r="81" spans="3:6" ht="18.75">
      <c r="C81" s="265"/>
      <c r="D81" s="266"/>
      <c r="E81" s="78"/>
      <c r="F81" s="78"/>
    </row>
    <row r="82" spans="3:6" ht="18.75">
      <c r="C82" s="265"/>
      <c r="D82" s="266"/>
      <c r="E82" s="78"/>
      <c r="F82" s="78"/>
    </row>
    <row r="83" spans="3:6" ht="18.75">
      <c r="C83" s="265"/>
      <c r="D83" s="266"/>
      <c r="E83" s="78"/>
      <c r="F83" s="78"/>
    </row>
    <row r="84" spans="3:6" ht="18.75">
      <c r="C84" s="265"/>
      <c r="D84" s="266"/>
      <c r="E84" s="78"/>
      <c r="F84" s="78"/>
    </row>
    <row r="85" spans="3:6" ht="18.75">
      <c r="C85" s="265"/>
      <c r="D85" s="266"/>
      <c r="E85" s="78"/>
      <c r="F85" s="78"/>
    </row>
    <row r="86" spans="3:6" ht="18.75">
      <c r="C86" s="265"/>
      <c r="D86" s="266"/>
      <c r="E86" s="78"/>
      <c r="F86" s="78"/>
    </row>
    <row r="87" spans="3:6" ht="18.75">
      <c r="C87" s="265"/>
      <c r="D87" s="266"/>
      <c r="E87" s="78"/>
      <c r="F87" s="78"/>
    </row>
    <row r="88" spans="3:6" ht="18.75">
      <c r="C88" s="265"/>
      <c r="D88" s="266"/>
      <c r="E88" s="78"/>
      <c r="F88" s="78"/>
    </row>
    <row r="89" spans="3:6" ht="18.75">
      <c r="C89" s="265"/>
      <c r="D89" s="266"/>
      <c r="E89" s="78"/>
      <c r="F89" s="78"/>
    </row>
    <row r="90" spans="3:6" ht="18.75">
      <c r="C90" s="265"/>
      <c r="D90" s="266"/>
      <c r="E90" s="78"/>
      <c r="F90" s="78"/>
    </row>
    <row r="91" spans="3:6" ht="18.75">
      <c r="C91" s="265"/>
      <c r="D91" s="266"/>
      <c r="E91" s="78"/>
      <c r="F91" s="78"/>
    </row>
    <row r="92" spans="3:6" ht="18.75">
      <c r="C92" s="265"/>
      <c r="D92" s="266"/>
      <c r="E92" s="78"/>
      <c r="F92" s="78"/>
    </row>
    <row r="93" spans="3:6" ht="18.75">
      <c r="C93" s="265"/>
      <c r="D93" s="266"/>
      <c r="E93" s="78"/>
      <c r="F93" s="78"/>
    </row>
    <row r="94" spans="3:6" ht="18.75">
      <c r="C94" s="265"/>
      <c r="D94" s="266"/>
      <c r="E94" s="78"/>
      <c r="F94" s="78"/>
    </row>
    <row r="95" spans="3:6" ht="18.75">
      <c r="C95" s="265"/>
      <c r="D95" s="266"/>
      <c r="E95" s="78"/>
      <c r="F95" s="78"/>
    </row>
    <row r="96" spans="3:6" ht="18.75">
      <c r="C96" s="265"/>
      <c r="D96" s="266"/>
      <c r="E96" s="78"/>
      <c r="F96" s="78"/>
    </row>
    <row r="97" spans="3:6" ht="18.75">
      <c r="C97" s="265"/>
      <c r="D97" s="266"/>
      <c r="E97" s="78"/>
      <c r="F97" s="78"/>
    </row>
    <row r="98" spans="3:6" ht="18.75">
      <c r="C98" s="265"/>
      <c r="D98" s="266"/>
      <c r="E98" s="78"/>
      <c r="F98" s="78"/>
    </row>
    <row r="99" spans="3:6" ht="18.75">
      <c r="C99" s="265"/>
      <c r="D99" s="266"/>
      <c r="E99" s="78"/>
      <c r="F99" s="78"/>
    </row>
    <row r="100" spans="3:6" ht="18.75">
      <c r="C100" s="265"/>
      <c r="D100" s="266"/>
      <c r="E100" s="78"/>
      <c r="F100" s="78"/>
    </row>
    <row r="101" spans="3:6" ht="18.75">
      <c r="C101" s="265"/>
      <c r="D101" s="266"/>
      <c r="E101" s="78"/>
      <c r="F101" s="78"/>
    </row>
    <row r="102" spans="3:6" ht="18.75">
      <c r="C102" s="265"/>
      <c r="D102" s="266"/>
      <c r="E102" s="78"/>
      <c r="F102" s="78"/>
    </row>
    <row r="103" spans="3:6" ht="18.75">
      <c r="C103" s="265"/>
      <c r="D103" s="266"/>
      <c r="E103" s="78"/>
      <c r="F103" s="78"/>
    </row>
    <row r="104" spans="3:6" ht="18.75">
      <c r="C104" s="265"/>
      <c r="D104" s="266"/>
      <c r="E104" s="78"/>
      <c r="F104" s="78"/>
    </row>
    <row r="105" spans="3:6" ht="18.75">
      <c r="C105" s="265"/>
      <c r="D105" s="266"/>
      <c r="E105" s="78"/>
      <c r="F105" s="78"/>
    </row>
    <row r="106" spans="3:6" ht="18.75">
      <c r="C106" s="265"/>
      <c r="D106" s="266"/>
      <c r="E106" s="78"/>
      <c r="F106" s="78"/>
    </row>
    <row r="107" spans="3:6" ht="18.75">
      <c r="C107" s="265"/>
      <c r="D107" s="266"/>
      <c r="E107" s="78"/>
      <c r="F107" s="78"/>
    </row>
    <row r="108" spans="3:6" ht="18.75">
      <c r="C108" s="265"/>
      <c r="D108" s="266"/>
      <c r="E108" s="78"/>
      <c r="F108" s="78"/>
    </row>
  </sheetData>
  <mergeCells count="25">
    <mergeCell ref="A9:C9"/>
    <mergeCell ref="A1:K1"/>
    <mergeCell ref="A2:K2"/>
    <mergeCell ref="A3:C3"/>
    <mergeCell ref="A5:C5"/>
    <mergeCell ref="B6:C6"/>
    <mergeCell ref="B39:C39"/>
    <mergeCell ref="B10:C10"/>
    <mergeCell ref="B14:C14"/>
    <mergeCell ref="A16:C16"/>
    <mergeCell ref="B17:C17"/>
    <mergeCell ref="B20:C20"/>
    <mergeCell ref="B23:C23"/>
    <mergeCell ref="B25:C25"/>
    <mergeCell ref="B32:C32"/>
    <mergeCell ref="A35:C35"/>
    <mergeCell ref="B36:C36"/>
    <mergeCell ref="A38:C38"/>
    <mergeCell ref="A58:K58"/>
    <mergeCell ref="B42:C42"/>
    <mergeCell ref="B44:C44"/>
    <mergeCell ref="A46:C46"/>
    <mergeCell ref="A55:K55"/>
    <mergeCell ref="A56:K56"/>
    <mergeCell ref="A57:K57"/>
  </mergeCells>
  <printOptions horizontalCentered="1" verticalCentered="1"/>
  <pageMargins left="0.28999999999999998" right="0.31496062992125984" top="0.44" bottom="0.23622047244094491" header="0.36" footer="0.15748031496062992"/>
  <pageSetup paperSize="9" scale="65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18"/>
  <sheetViews>
    <sheetView topLeftCell="B1" workbookViewId="0">
      <selection activeCell="F11" sqref="F11"/>
    </sheetView>
  </sheetViews>
  <sheetFormatPr defaultRowHeight="18.75"/>
  <cols>
    <col min="1" max="1" width="21.5703125" style="270" customWidth="1"/>
    <col min="2" max="3" width="13.85546875" style="270" bestFit="1" customWidth="1"/>
    <col min="4" max="4" width="22.85546875" style="270" customWidth="1"/>
    <col min="5" max="5" width="18.140625" style="270" customWidth="1"/>
    <col min="6" max="6" width="16.140625" style="270" customWidth="1"/>
    <col min="7" max="7" width="14.85546875" style="270" bestFit="1" customWidth="1"/>
    <col min="8" max="8" width="13.85546875" style="270" bestFit="1" customWidth="1"/>
    <col min="9" max="9" width="15.7109375" style="270" customWidth="1"/>
    <col min="10" max="16384" width="9.140625" style="270"/>
  </cols>
  <sheetData>
    <row r="1" spans="1:9">
      <c r="A1" s="662" t="s">
        <v>435</v>
      </c>
      <c r="B1" s="662"/>
      <c r="C1" s="662"/>
      <c r="D1" s="662"/>
      <c r="E1" s="662"/>
      <c r="F1" s="662"/>
      <c r="G1" s="662"/>
      <c r="H1" s="662"/>
      <c r="I1" s="662"/>
    </row>
    <row r="3" spans="1:9" s="322" customFormat="1" ht="26.25" customHeight="1">
      <c r="A3" s="661" t="s">
        <v>73</v>
      </c>
      <c r="B3" s="661" t="s">
        <v>269</v>
      </c>
      <c r="C3" s="661"/>
      <c r="D3" s="321" t="s">
        <v>270</v>
      </c>
      <c r="E3" s="660" t="s">
        <v>272</v>
      </c>
      <c r="F3" s="660" t="s">
        <v>444</v>
      </c>
      <c r="G3" s="661" t="s">
        <v>273</v>
      </c>
      <c r="H3" s="661"/>
      <c r="I3" s="660" t="s">
        <v>368</v>
      </c>
    </row>
    <row r="4" spans="1:9" s="322" customFormat="1" ht="30.75" customHeight="1">
      <c r="A4" s="661"/>
      <c r="B4" s="100" t="s">
        <v>42</v>
      </c>
      <c r="C4" s="100" t="s">
        <v>43</v>
      </c>
      <c r="D4" s="100" t="s">
        <v>271</v>
      </c>
      <c r="E4" s="661"/>
      <c r="F4" s="660"/>
      <c r="G4" s="100" t="s">
        <v>42</v>
      </c>
      <c r="H4" s="100" t="s">
        <v>43</v>
      </c>
      <c r="I4" s="661"/>
    </row>
    <row r="5" spans="1:9">
      <c r="A5" s="268" t="s">
        <v>203</v>
      </c>
      <c r="B5" s="271"/>
      <c r="C5" s="271"/>
      <c r="D5" s="271"/>
      <c r="E5" s="271"/>
      <c r="F5" s="271"/>
      <c r="G5" s="271"/>
      <c r="H5" s="271"/>
      <c r="I5" s="269"/>
    </row>
    <row r="6" spans="1:9">
      <c r="A6" s="269" t="s">
        <v>274</v>
      </c>
      <c r="B6" s="324">
        <v>12428605.17</v>
      </c>
      <c r="C6" s="324">
        <v>2442469.0099999998</v>
      </c>
      <c r="D6" s="325">
        <v>0</v>
      </c>
      <c r="E6" s="269">
        <f>2054.65+18.38</f>
        <v>2073.0300000000002</v>
      </c>
      <c r="F6" s="272">
        <f>+D15*E6/E12</f>
        <v>9619126.4263913576</v>
      </c>
      <c r="G6" s="272">
        <f>+B6+F6</f>
        <v>22047731.596391357</v>
      </c>
      <c r="H6" s="272">
        <f>+C6</f>
        <v>2442469.0099999998</v>
      </c>
      <c r="I6" s="272">
        <f>+G6+H6</f>
        <v>24490200.606391355</v>
      </c>
    </row>
    <row r="7" spans="1:9">
      <c r="A7" s="269" t="s">
        <v>275</v>
      </c>
      <c r="B7" s="324">
        <v>3266094.48</v>
      </c>
      <c r="C7" s="324">
        <v>2512590.54</v>
      </c>
      <c r="D7" s="325">
        <v>0</v>
      </c>
      <c r="E7" s="269">
        <f>2474.61+37.06</f>
        <v>2511.67</v>
      </c>
      <c r="F7" s="272">
        <f>+D15*E7/E12</f>
        <v>11654472.569800911</v>
      </c>
      <c r="G7" s="272">
        <f>+B7+F7</f>
        <v>14920567.049800912</v>
      </c>
      <c r="H7" s="272">
        <f t="shared" ref="H7:H15" si="0">+C7</f>
        <v>2512590.54</v>
      </c>
      <c r="I7" s="272">
        <f t="shared" ref="I7:I15" si="1">+G7+H7</f>
        <v>17433157.589800913</v>
      </c>
    </row>
    <row r="8" spans="1:9">
      <c r="A8" s="269" t="s">
        <v>276</v>
      </c>
      <c r="B8" s="324">
        <v>6092817.3099999996</v>
      </c>
      <c r="C8" s="324">
        <v>1443389.32</v>
      </c>
      <c r="D8" s="325">
        <v>0</v>
      </c>
      <c r="E8" s="269">
        <v>1240.78</v>
      </c>
      <c r="F8" s="272">
        <f>+D15*E8/E12</f>
        <v>5757379.1442178208</v>
      </c>
      <c r="G8" s="272">
        <f t="shared" ref="G8:G15" si="2">+B8+F8</f>
        <v>11850196.454217821</v>
      </c>
      <c r="H8" s="272">
        <f t="shared" si="0"/>
        <v>1443389.32</v>
      </c>
      <c r="I8" s="272">
        <f t="shared" si="1"/>
        <v>13293585.774217822</v>
      </c>
    </row>
    <row r="9" spans="1:9">
      <c r="A9" s="269" t="s">
        <v>277</v>
      </c>
      <c r="B9" s="324">
        <v>2912636.69</v>
      </c>
      <c r="C9" s="324">
        <v>371744.02</v>
      </c>
      <c r="D9" s="325">
        <v>0</v>
      </c>
      <c r="E9" s="269">
        <v>669.54</v>
      </c>
      <c r="F9" s="272">
        <f>+D15*E9/E12</f>
        <v>3106751.9078479661</v>
      </c>
      <c r="G9" s="272">
        <f t="shared" si="2"/>
        <v>6019388.5978479665</v>
      </c>
      <c r="H9" s="272">
        <f t="shared" si="0"/>
        <v>371744.02</v>
      </c>
      <c r="I9" s="272">
        <f t="shared" si="1"/>
        <v>6391132.617847966</v>
      </c>
    </row>
    <row r="10" spans="1:9">
      <c r="A10" s="269" t="s">
        <v>278</v>
      </c>
      <c r="B10" s="324">
        <v>5427637.5199999996</v>
      </c>
      <c r="C10" s="324">
        <v>850930.68</v>
      </c>
      <c r="D10" s="325">
        <v>0</v>
      </c>
      <c r="E10" s="269">
        <v>926.33</v>
      </c>
      <c r="F10" s="272">
        <f>+D15*E10/E12</f>
        <v>4298290.6096675433</v>
      </c>
      <c r="G10" s="272">
        <f t="shared" si="2"/>
        <v>9725928.1296675429</v>
      </c>
      <c r="H10" s="272">
        <f t="shared" si="0"/>
        <v>850930.68</v>
      </c>
      <c r="I10" s="272">
        <f t="shared" si="1"/>
        <v>10576858.809667543</v>
      </c>
    </row>
    <row r="11" spans="1:9">
      <c r="A11" s="269" t="s">
        <v>279</v>
      </c>
      <c r="B11" s="324">
        <v>6072206.3899999997</v>
      </c>
      <c r="C11" s="324">
        <v>443002.75</v>
      </c>
      <c r="D11" s="325">
        <v>0</v>
      </c>
      <c r="E11" s="269">
        <f>425.25+123.77</f>
        <v>549.02</v>
      </c>
      <c r="F11" s="272">
        <f>+D15*E11/E12</f>
        <v>2547523.5720743951</v>
      </c>
      <c r="G11" s="272">
        <f t="shared" si="2"/>
        <v>8619729.9620743953</v>
      </c>
      <c r="H11" s="272">
        <f t="shared" si="0"/>
        <v>443002.75</v>
      </c>
      <c r="I11" s="272">
        <f t="shared" si="1"/>
        <v>9062732.7120743953</v>
      </c>
    </row>
    <row r="12" spans="1:9" s="283" customFormat="1">
      <c r="A12" s="326"/>
      <c r="B12" s="327">
        <f>SUM(B6:B11)</f>
        <v>36199997.560000002</v>
      </c>
      <c r="C12" s="327">
        <f>SUM(C6:C11)</f>
        <v>8064126.3200000003</v>
      </c>
      <c r="D12" s="328">
        <f t="shared" ref="D12:I12" si="3">SUM(D6:D11)</f>
        <v>0</v>
      </c>
      <c r="E12" s="326">
        <f t="shared" si="3"/>
        <v>7970.3700000000008</v>
      </c>
      <c r="F12" s="327">
        <f>SUM(F6:F11)</f>
        <v>36983544.229999997</v>
      </c>
      <c r="G12" s="327">
        <f t="shared" si="3"/>
        <v>73183541.789999992</v>
      </c>
      <c r="H12" s="327">
        <f t="shared" si="3"/>
        <v>8064126.3200000003</v>
      </c>
      <c r="I12" s="327">
        <f t="shared" si="3"/>
        <v>81247668.109999985</v>
      </c>
    </row>
    <row r="13" spans="1:9" s="332" customFormat="1">
      <c r="A13" s="329" t="s">
        <v>280</v>
      </c>
      <c r="B13" s="330"/>
      <c r="C13" s="330"/>
      <c r="D13" s="324"/>
      <c r="E13" s="330"/>
      <c r="F13" s="330"/>
      <c r="G13" s="324">
        <f>+B13+F13</f>
        <v>0</v>
      </c>
      <c r="H13" s="324">
        <f t="shared" si="0"/>
        <v>0</v>
      </c>
      <c r="I13" s="331">
        <f t="shared" si="1"/>
        <v>0</v>
      </c>
    </row>
    <row r="14" spans="1:9" s="332" customFormat="1">
      <c r="A14" s="330" t="s">
        <v>281</v>
      </c>
      <c r="B14" s="330">
        <v>7024732.6500000004</v>
      </c>
      <c r="C14" s="330">
        <v>6625365.9900000002</v>
      </c>
      <c r="D14" s="324">
        <v>4354354.22</v>
      </c>
      <c r="E14" s="331">
        <v>0</v>
      </c>
      <c r="F14" s="331">
        <v>0</v>
      </c>
      <c r="G14" s="324">
        <f>+B14++D14+F14</f>
        <v>11379086.870000001</v>
      </c>
      <c r="H14" s="324">
        <f>+C14</f>
        <v>6625365.9900000002</v>
      </c>
      <c r="I14" s="331">
        <f t="shared" si="1"/>
        <v>18004452.859999999</v>
      </c>
    </row>
    <row r="15" spans="1:9" s="332" customFormat="1" ht="19.5" thickBot="1">
      <c r="A15" s="337" t="s">
        <v>282</v>
      </c>
      <c r="B15" s="333">
        <v>0</v>
      </c>
      <c r="C15" s="333">
        <v>0</v>
      </c>
      <c r="D15" s="334">
        <v>36983544.229999997</v>
      </c>
      <c r="E15" s="333">
        <v>0</v>
      </c>
      <c r="F15" s="333">
        <v>0</v>
      </c>
      <c r="G15" s="335">
        <f t="shared" si="2"/>
        <v>0</v>
      </c>
      <c r="H15" s="335">
        <f t="shared" si="0"/>
        <v>0</v>
      </c>
      <c r="I15" s="331">
        <f t="shared" si="1"/>
        <v>0</v>
      </c>
    </row>
    <row r="16" spans="1:9" s="283" customFormat="1" ht="20.25" thickTop="1" thickBot="1">
      <c r="A16" s="338"/>
      <c r="B16" s="336">
        <f>+B14+B15</f>
        <v>7024732.6500000004</v>
      </c>
      <c r="C16" s="336">
        <f>+C14+C15</f>
        <v>6625365.9900000002</v>
      </c>
      <c r="D16" s="336">
        <f>+D14+D15</f>
        <v>41337898.449999996</v>
      </c>
      <c r="E16" s="336"/>
      <c r="F16" s="336">
        <f>+F14+F15</f>
        <v>0</v>
      </c>
      <c r="G16" s="336">
        <f>+G14+G15</f>
        <v>11379086.870000001</v>
      </c>
      <c r="H16" s="336">
        <f t="shared" ref="H16:I16" si="4">+H14+H15</f>
        <v>6625365.9900000002</v>
      </c>
      <c r="I16" s="336">
        <f t="shared" si="4"/>
        <v>18004452.859999999</v>
      </c>
    </row>
    <row r="17" spans="2:9" ht="19.5" thickTop="1">
      <c r="B17" s="274"/>
      <c r="C17" s="274"/>
      <c r="D17" s="274"/>
      <c r="E17" s="274"/>
      <c r="F17" s="274"/>
      <c r="G17" s="274"/>
      <c r="H17" s="274"/>
      <c r="I17" s="274"/>
    </row>
    <row r="18" spans="2:9">
      <c r="C18" s="274"/>
      <c r="D18" s="274"/>
      <c r="G18" s="274"/>
    </row>
  </sheetData>
  <mergeCells count="7">
    <mergeCell ref="I3:I4"/>
    <mergeCell ref="A1:I1"/>
    <mergeCell ref="B3:C3"/>
    <mergeCell ref="E3:E4"/>
    <mergeCell ref="A3:A4"/>
    <mergeCell ref="F3:F4"/>
    <mergeCell ref="G3:H3"/>
  </mergeCells>
  <pageMargins left="0.28000000000000003" right="0.3" top="0.74803149606299213" bottom="0.74803149606299213" header="0.31496062992125984" footer="0.31496062992125984"/>
  <pageSetup paperSize="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26"/>
  <sheetViews>
    <sheetView topLeftCell="A10" workbookViewId="0">
      <selection activeCell="E12" sqref="E12"/>
    </sheetView>
  </sheetViews>
  <sheetFormatPr defaultRowHeight="24.75" customHeight="1"/>
  <cols>
    <col min="1" max="1" width="5.140625" style="14" customWidth="1"/>
    <col min="2" max="2" width="31.28515625" style="7" customWidth="1"/>
    <col min="3" max="3" width="41.5703125" style="7" customWidth="1"/>
    <col min="4" max="4" width="14" style="7" customWidth="1"/>
    <col min="5" max="5" width="14.28515625" style="7" bestFit="1" customWidth="1"/>
    <col min="6" max="6" width="13" style="7" customWidth="1"/>
    <col min="7" max="7" width="12.5703125" style="7" customWidth="1"/>
    <col min="8" max="8" width="12.85546875" style="7" customWidth="1"/>
    <col min="9" max="9" width="14.85546875" style="7" customWidth="1"/>
    <col min="10" max="10" width="14.5703125" style="7" customWidth="1"/>
    <col min="11" max="16384" width="9.140625" style="7"/>
  </cols>
  <sheetData>
    <row r="1" spans="1:9" s="23" customFormat="1" ht="24.75" customHeight="1">
      <c r="A1" s="663" t="s">
        <v>436</v>
      </c>
      <c r="B1" s="663"/>
      <c r="C1" s="663"/>
      <c r="D1" s="663"/>
      <c r="E1" s="663"/>
      <c r="F1" s="663"/>
      <c r="G1" s="663"/>
      <c r="H1" s="663"/>
      <c r="I1" s="663"/>
    </row>
    <row r="2" spans="1:9" s="23" customFormat="1" ht="24.75" customHeight="1">
      <c r="A2" s="663" t="s">
        <v>38</v>
      </c>
      <c r="B2" s="663"/>
      <c r="C2" s="663"/>
      <c r="D2" s="663"/>
      <c r="E2" s="663"/>
      <c r="F2" s="663"/>
      <c r="G2" s="663"/>
      <c r="H2" s="663"/>
      <c r="I2" s="663"/>
    </row>
    <row r="3" spans="1:9" s="16" customFormat="1" ht="24.75" customHeight="1">
      <c r="A3" s="15"/>
      <c r="E3" s="16">
        <v>496312728.27999997</v>
      </c>
      <c r="F3" s="16">
        <v>53382407.090000004</v>
      </c>
      <c r="G3" s="16">
        <v>0</v>
      </c>
      <c r="H3" s="16">
        <v>75782629.170000002</v>
      </c>
      <c r="I3" s="16">
        <f>SUM(E3:H3)</f>
        <v>625477764.53999996</v>
      </c>
    </row>
    <row r="4" spans="1:9" s="25" customFormat="1" ht="41.25" customHeight="1">
      <c r="A4" s="12" t="s">
        <v>66</v>
      </c>
      <c r="B4" s="12" t="s">
        <v>283</v>
      </c>
      <c r="C4" s="12" t="s">
        <v>284</v>
      </c>
      <c r="D4" s="528" t="s">
        <v>498</v>
      </c>
      <c r="E4" s="12" t="s">
        <v>206</v>
      </c>
      <c r="F4" s="12" t="s">
        <v>207</v>
      </c>
      <c r="G4" s="12" t="s">
        <v>10</v>
      </c>
      <c r="H4" s="12" t="s">
        <v>295</v>
      </c>
      <c r="I4" s="24" t="s">
        <v>299</v>
      </c>
    </row>
    <row r="5" spans="1:9" s="11" customFormat="1" ht="24.75" customHeight="1">
      <c r="A5" s="667">
        <v>1</v>
      </c>
      <c r="B5" s="664" t="s">
        <v>244</v>
      </c>
      <c r="C5" s="18" t="s">
        <v>285</v>
      </c>
      <c r="D5" s="529">
        <v>170442000</v>
      </c>
      <c r="E5" s="670">
        <f>+E3*D9/D21</f>
        <v>383953971.42635041</v>
      </c>
      <c r="F5" s="670">
        <f>+F3*D9/D21</f>
        <v>41297323.317769952</v>
      </c>
      <c r="G5" s="670">
        <f>+G3*D9/D21</f>
        <v>0</v>
      </c>
      <c r="H5" s="673">
        <f>+H3*D9/D21</f>
        <v>58626425.995136857</v>
      </c>
      <c r="I5" s="674">
        <f>+E5+F5+G5+H5</f>
        <v>483877720.73925722</v>
      </c>
    </row>
    <row r="6" spans="1:9" s="11" customFormat="1" ht="24.75" customHeight="1">
      <c r="A6" s="668"/>
      <c r="B6" s="665"/>
      <c r="C6" s="19" t="s">
        <v>286</v>
      </c>
      <c r="D6" s="530">
        <v>47214900</v>
      </c>
      <c r="E6" s="671"/>
      <c r="F6" s="671"/>
      <c r="G6" s="671"/>
      <c r="H6" s="673"/>
      <c r="I6" s="668"/>
    </row>
    <row r="7" spans="1:9" s="11" customFormat="1" ht="24.75" customHeight="1">
      <c r="A7" s="668"/>
      <c r="B7" s="665"/>
      <c r="C7" s="19" t="s">
        <v>297</v>
      </c>
      <c r="D7" s="530">
        <v>24081900</v>
      </c>
      <c r="E7" s="671"/>
      <c r="F7" s="671"/>
      <c r="G7" s="671"/>
      <c r="H7" s="673"/>
      <c r="I7" s="668"/>
    </row>
    <row r="8" spans="1:9" s="11" customFormat="1" ht="24.75" customHeight="1">
      <c r="A8" s="668"/>
      <c r="B8" s="665"/>
      <c r="C8" s="19" t="s">
        <v>499</v>
      </c>
      <c r="D8" s="531">
        <f>1683400+1214600+1932900+4991900+500000</f>
        <v>10322800</v>
      </c>
      <c r="E8" s="672"/>
      <c r="F8" s="672"/>
      <c r="G8" s="672"/>
      <c r="H8" s="673"/>
      <c r="I8" s="669"/>
    </row>
    <row r="9" spans="1:9" s="26" customFormat="1" ht="24.75" customHeight="1">
      <c r="A9" s="669"/>
      <c r="B9" s="666"/>
      <c r="C9" s="8" t="s">
        <v>300</v>
      </c>
      <c r="D9" s="532">
        <f>SUM(D5:D8)</f>
        <v>252061600</v>
      </c>
      <c r="E9" s="21">
        <f>SUM(E5:E8)</f>
        <v>383953971.42635041</v>
      </c>
      <c r="F9" s="21">
        <f t="shared" ref="F9:H9" si="0">SUM(F5:F8)</f>
        <v>41297323.317769952</v>
      </c>
      <c r="G9" s="21">
        <f t="shared" si="0"/>
        <v>0</v>
      </c>
      <c r="H9" s="21">
        <f t="shared" si="0"/>
        <v>58626425.995136857</v>
      </c>
      <c r="I9" s="21">
        <f>SUM(I5:I8)</f>
        <v>483877720.73925722</v>
      </c>
    </row>
    <row r="10" spans="1:9" ht="24.75" customHeight="1">
      <c r="A10" s="13">
        <v>2</v>
      </c>
      <c r="B10" s="10" t="s">
        <v>245</v>
      </c>
      <c r="C10" s="9" t="s">
        <v>287</v>
      </c>
      <c r="D10" s="533">
        <v>7488100</v>
      </c>
      <c r="E10" s="20">
        <f>+E3*D10/D21</f>
        <v>11406282.168476492</v>
      </c>
      <c r="F10" s="20">
        <f>+F3*D10/D21</f>
        <v>1226836.9586473829</v>
      </c>
      <c r="G10" s="20">
        <f>+G3*D10/D21</f>
        <v>0</v>
      </c>
      <c r="H10" s="20">
        <f>+H3*D10/D21</f>
        <v>1741639.9026832501</v>
      </c>
      <c r="I10" s="22">
        <f>SUM(E10:H10)</f>
        <v>14374759.029807126</v>
      </c>
    </row>
    <row r="11" spans="1:9" ht="24.75" customHeight="1">
      <c r="A11" s="13">
        <v>3</v>
      </c>
      <c r="B11" s="10" t="s">
        <v>246</v>
      </c>
      <c r="C11" s="9" t="s">
        <v>288</v>
      </c>
      <c r="D11" s="533">
        <v>4759200</v>
      </c>
      <c r="E11" s="20">
        <f>+E3*D11/D21</f>
        <v>7249472.9098453978</v>
      </c>
      <c r="F11" s="20">
        <f>+F3*D11/D21</f>
        <v>779738.84611511929</v>
      </c>
      <c r="G11" s="20">
        <f>+G3*D11/D21</f>
        <v>0</v>
      </c>
      <c r="H11" s="20">
        <f>+H3*D11/D21</f>
        <v>1106931.3477183965</v>
      </c>
      <c r="I11" s="22">
        <f t="shared" ref="I11:I19" si="1">SUM(E11:H11)</f>
        <v>9136143.1036789138</v>
      </c>
    </row>
    <row r="12" spans="1:9" ht="24.75" customHeight="1">
      <c r="A12" s="13">
        <v>4</v>
      </c>
      <c r="B12" s="10" t="s">
        <v>247</v>
      </c>
      <c r="C12" s="9" t="s">
        <v>289</v>
      </c>
      <c r="D12" s="533">
        <v>3911400</v>
      </c>
      <c r="E12" s="20">
        <f>+E3*D12/D21</f>
        <v>5958057.7280991115</v>
      </c>
      <c r="F12" s="20">
        <f>+F3*D12/D21</f>
        <v>640836.80507116264</v>
      </c>
      <c r="G12" s="20">
        <f>+G3*D12/D21</f>
        <v>0</v>
      </c>
      <c r="H12" s="20">
        <f>+H3*D12/D21</f>
        <v>909743.50173679099</v>
      </c>
      <c r="I12" s="22">
        <f t="shared" si="1"/>
        <v>7508638.0349070653</v>
      </c>
    </row>
    <row r="13" spans="1:9" ht="24.75" customHeight="1">
      <c r="A13" s="13">
        <v>5</v>
      </c>
      <c r="B13" s="10" t="s">
        <v>248</v>
      </c>
      <c r="C13" s="9" t="s">
        <v>290</v>
      </c>
      <c r="D13" s="533">
        <v>8989400</v>
      </c>
      <c r="E13" s="20">
        <f>+E3*D13/D21</f>
        <v>13693144.178804046</v>
      </c>
      <c r="F13" s="20">
        <f>+F3*D13/D21</f>
        <v>1472807.2750183337</v>
      </c>
      <c r="G13" s="20">
        <f>+G3*D13/D21</f>
        <v>0</v>
      </c>
      <c r="H13" s="20">
        <f>+H3*D13/D21</f>
        <v>2090823.805929516</v>
      </c>
      <c r="I13" s="22">
        <f t="shared" si="1"/>
        <v>17256775.259751897</v>
      </c>
    </row>
    <row r="14" spans="1:9" ht="24.75" customHeight="1">
      <c r="A14" s="13">
        <v>6</v>
      </c>
      <c r="B14" s="10" t="s">
        <v>249</v>
      </c>
      <c r="C14" s="9" t="s">
        <v>291</v>
      </c>
      <c r="D14" s="533">
        <v>2291100</v>
      </c>
      <c r="E14" s="20">
        <f>+E3*D14/D21</f>
        <v>3489928.4299350292</v>
      </c>
      <c r="F14" s="20">
        <f>+F3*D14/D21</f>
        <v>375369.74078297819</v>
      </c>
      <c r="G14" s="20">
        <f>+G3*D14/D21</f>
        <v>0</v>
      </c>
      <c r="H14" s="20">
        <f>+H3*D14/D21</f>
        <v>532881.66304370854</v>
      </c>
      <c r="I14" s="22">
        <f t="shared" si="1"/>
        <v>4398179.8337617163</v>
      </c>
    </row>
    <row r="15" spans="1:9" ht="24.75" customHeight="1">
      <c r="A15" s="13">
        <v>7</v>
      </c>
      <c r="B15" s="10" t="s">
        <v>250</v>
      </c>
      <c r="C15" s="9" t="s">
        <v>292</v>
      </c>
      <c r="D15" s="533">
        <v>3838900</v>
      </c>
      <c r="E15" s="20">
        <f>+E3*D15/D21</f>
        <v>5847621.7754255962</v>
      </c>
      <c r="F15" s="20">
        <f>+F3*D15/D21</f>
        <v>628958.53428125137</v>
      </c>
      <c r="G15" s="20">
        <f>+G3*D15/D21</f>
        <v>0</v>
      </c>
      <c r="H15" s="20">
        <f>+H3*D15/D21</f>
        <v>892880.89400658756</v>
      </c>
      <c r="I15" s="22">
        <f t="shared" si="1"/>
        <v>7369461.2037134347</v>
      </c>
    </row>
    <row r="16" spans="1:9" ht="24.75" customHeight="1">
      <c r="A16" s="100">
        <v>8</v>
      </c>
      <c r="B16" s="10" t="s">
        <v>251</v>
      </c>
      <c r="C16" s="9" t="s">
        <v>296</v>
      </c>
      <c r="D16" s="533">
        <f>1640100+6941400</f>
        <v>8581500</v>
      </c>
      <c r="E16" s="20">
        <f>+E3*D16/D21</f>
        <v>13071808.660245059</v>
      </c>
      <c r="F16" s="20">
        <f>+F3*D16/D21</f>
        <v>1405977.6659810254</v>
      </c>
      <c r="G16" s="20">
        <f>+G3*D16/D21</f>
        <v>0</v>
      </c>
      <c r="H16" s="20">
        <f>+H3*D16/D21</f>
        <v>1995951.2860239996</v>
      </c>
      <c r="I16" s="22">
        <f t="shared" si="1"/>
        <v>16473737.612250086</v>
      </c>
    </row>
    <row r="17" spans="1:9" ht="24.75" customHeight="1">
      <c r="A17" s="13">
        <v>9</v>
      </c>
      <c r="B17" s="10" t="s">
        <v>252</v>
      </c>
      <c r="C17" s="9" t="s">
        <v>293</v>
      </c>
      <c r="D17" s="533">
        <v>14236200</v>
      </c>
      <c r="E17" s="20">
        <f>+E3*D17/D21</f>
        <v>21685355.992423318</v>
      </c>
      <c r="F17" s="20">
        <f>+F3*D17/D21</f>
        <v>2332433.6361287739</v>
      </c>
      <c r="G17" s="20">
        <f>+G3*D17/D21</f>
        <v>0</v>
      </c>
      <c r="H17" s="20">
        <f>+H3*D17/D21</f>
        <v>3311164.9126720107</v>
      </c>
      <c r="I17" s="22">
        <f t="shared" si="1"/>
        <v>27328954.541224103</v>
      </c>
    </row>
    <row r="18" spans="1:9" ht="24.75" customHeight="1">
      <c r="A18" s="13">
        <v>10</v>
      </c>
      <c r="B18" s="10" t="s">
        <v>253</v>
      </c>
      <c r="C18" s="527" t="s">
        <v>298</v>
      </c>
      <c r="D18" s="533">
        <f>9370100+5342000</f>
        <v>14712100</v>
      </c>
      <c r="E18" s="20">
        <f>+E3*D18/D21</f>
        <v>22410272.818317465</v>
      </c>
      <c r="F18" s="20">
        <f>+F3*D18/D21</f>
        <v>2410404.2439759299</v>
      </c>
      <c r="G18" s="20">
        <f>+G3*D18/D21</f>
        <v>0</v>
      </c>
      <c r="H18" s="20">
        <f>+H3*D18/D21</f>
        <v>3421853.3956899941</v>
      </c>
      <c r="I18" s="22">
        <f t="shared" si="1"/>
        <v>28242530.457983389</v>
      </c>
    </row>
    <row r="19" spans="1:9" ht="24.75" customHeight="1">
      <c r="A19" s="13">
        <v>11</v>
      </c>
      <c r="B19" s="10" t="s">
        <v>254</v>
      </c>
      <c r="C19" s="9" t="s">
        <v>294</v>
      </c>
      <c r="D19" s="533">
        <v>4954400</v>
      </c>
      <c r="E19" s="20">
        <f>+E3*D19/D21</f>
        <v>7546812.1920780884</v>
      </c>
      <c r="F19" s="20">
        <f>+F3*D19/D21</f>
        <v>811720.06622809451</v>
      </c>
      <c r="G19" s="20">
        <f>+G3*D19/D21</f>
        <v>0</v>
      </c>
      <c r="H19" s="20">
        <f>+H3*D19/D21</f>
        <v>1152332.4653588887</v>
      </c>
      <c r="I19" s="22">
        <f t="shared" si="1"/>
        <v>9510864.7236650717</v>
      </c>
    </row>
    <row r="20" spans="1:9" ht="24.75" customHeight="1" thickBot="1">
      <c r="D20" s="534">
        <f>SUM(D10:D19)</f>
        <v>73762300</v>
      </c>
      <c r="E20" s="534">
        <f>SUM(E10:E19)</f>
        <v>112358756.85364962</v>
      </c>
      <c r="F20" s="534">
        <f>SUM(F10:F19)</f>
        <v>12085083.772230051</v>
      </c>
      <c r="G20" s="534">
        <f t="shared" ref="G20:H20" si="2">SUM(G10:G19)</f>
        <v>0</v>
      </c>
      <c r="H20" s="534">
        <f t="shared" si="2"/>
        <v>17156203.174863145</v>
      </c>
      <c r="I20" s="534">
        <f>SUM(I10:I19)</f>
        <v>141600043.80074281</v>
      </c>
    </row>
    <row r="21" spans="1:9" ht="24.75" customHeight="1" thickTop="1" thickBot="1">
      <c r="D21" s="535">
        <f>+D9+D20</f>
        <v>325823900</v>
      </c>
      <c r="E21" s="536">
        <f>+E9+E20</f>
        <v>496312728.28000003</v>
      </c>
      <c r="F21" s="536">
        <f t="shared" ref="F21:H21" si="3">+F9+F20</f>
        <v>53382407.090000004</v>
      </c>
      <c r="G21" s="536">
        <f t="shared" si="3"/>
        <v>0</v>
      </c>
      <c r="H21" s="536">
        <f t="shared" si="3"/>
        <v>75782629.170000002</v>
      </c>
      <c r="I21" s="536">
        <f>+I9+I20</f>
        <v>625477764.53999996</v>
      </c>
    </row>
    <row r="22" spans="1:9" ht="24.75" customHeight="1" thickTop="1">
      <c r="D22" s="16"/>
      <c r="I22" s="17"/>
    </row>
    <row r="23" spans="1:9" ht="24.75" customHeight="1">
      <c r="D23" s="16"/>
      <c r="E23" s="17"/>
      <c r="F23" s="17"/>
      <c r="G23" s="17"/>
      <c r="H23" s="17"/>
      <c r="I23" s="17"/>
    </row>
    <row r="24" spans="1:9" ht="24.75" customHeight="1">
      <c r="D24" s="17"/>
    </row>
    <row r="26" spans="1:9" ht="24.75" customHeight="1">
      <c r="D26" s="16"/>
    </row>
  </sheetData>
  <mergeCells count="9">
    <mergeCell ref="A1:I1"/>
    <mergeCell ref="A2:I2"/>
    <mergeCell ref="B5:B9"/>
    <mergeCell ref="A5:A9"/>
    <mergeCell ref="G5:G8"/>
    <mergeCell ref="H5:H8"/>
    <mergeCell ref="I5:I8"/>
    <mergeCell ref="E5:E8"/>
    <mergeCell ref="F5:F8"/>
  </mergeCells>
  <pageMargins left="0.31496062992125984" right="0.23622047244094491" top="0.43307086614173229" bottom="0.54" header="0.31496062992125984" footer="0.31496062992125984"/>
  <pageSetup paperSize="9" scale="95" orientation="landscape" horizontalDpi="0" verticalDpi="0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T253"/>
  <sheetViews>
    <sheetView zoomScale="80" zoomScaleNormal="80" workbookViewId="0">
      <selection activeCell="J20" sqref="J20"/>
    </sheetView>
  </sheetViews>
  <sheetFormatPr defaultRowHeight="18" customHeight="1"/>
  <cols>
    <col min="1" max="1" width="5.85546875" style="270" customWidth="1"/>
    <col min="2" max="2" width="40.7109375" style="270" customWidth="1"/>
    <col min="3" max="9" width="6.5703125" style="270" customWidth="1"/>
    <col min="10" max="10" width="8" style="270" customWidth="1"/>
    <col min="11" max="13" width="6.5703125" style="270" customWidth="1"/>
    <col min="14" max="14" width="7.7109375" style="270" customWidth="1"/>
    <col min="15" max="20" width="6.5703125" style="270" customWidth="1"/>
    <col min="21" max="16384" width="9.140625" style="270"/>
  </cols>
  <sheetData>
    <row r="1" spans="1:20" ht="18" customHeight="1">
      <c r="A1" s="691" t="s">
        <v>457</v>
      </c>
      <c r="B1" s="691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</row>
    <row r="2" spans="1:20" ht="18" customHeight="1">
      <c r="A2" s="692" t="s">
        <v>445</v>
      </c>
      <c r="B2" s="693"/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693"/>
      <c r="P2" s="693"/>
      <c r="Q2" s="693"/>
      <c r="R2" s="693"/>
      <c r="S2" s="693"/>
      <c r="T2" s="694"/>
    </row>
    <row r="3" spans="1:20" ht="18" customHeight="1">
      <c r="A3" s="678" t="s">
        <v>458</v>
      </c>
      <c r="B3" s="679"/>
      <c r="C3" s="679"/>
      <c r="D3" s="679"/>
      <c r="E3" s="679"/>
      <c r="F3" s="679"/>
      <c r="G3" s="679"/>
      <c r="H3" s="679"/>
      <c r="I3" s="679"/>
      <c r="J3" s="679"/>
      <c r="K3" s="679"/>
      <c r="L3" s="679"/>
      <c r="M3" s="679"/>
      <c r="N3" s="679"/>
      <c r="O3" s="679"/>
      <c r="P3" s="679"/>
      <c r="Q3" s="679"/>
      <c r="R3" s="679"/>
      <c r="S3" s="679"/>
      <c r="T3" s="680"/>
    </row>
    <row r="4" spans="1:20" ht="18" customHeight="1">
      <c r="A4" s="678" t="s">
        <v>459</v>
      </c>
      <c r="B4" s="679"/>
      <c r="C4" s="679"/>
      <c r="D4" s="679"/>
      <c r="E4" s="679"/>
      <c r="F4" s="679"/>
      <c r="G4" s="679"/>
      <c r="H4" s="679"/>
      <c r="I4" s="679"/>
      <c r="J4" s="679"/>
      <c r="K4" s="679"/>
      <c r="L4" s="679"/>
      <c r="M4" s="679"/>
      <c r="N4" s="679"/>
      <c r="O4" s="679"/>
      <c r="P4" s="679"/>
      <c r="Q4" s="679"/>
      <c r="R4" s="679"/>
      <c r="S4" s="679"/>
      <c r="T4" s="680"/>
    </row>
    <row r="5" spans="1:20" ht="18" customHeight="1">
      <c r="A5" s="681" t="s">
        <v>301</v>
      </c>
      <c r="B5" s="684" t="s">
        <v>302</v>
      </c>
      <c r="C5" s="687" t="s">
        <v>303</v>
      </c>
      <c r="D5" s="688"/>
      <c r="E5" s="688"/>
      <c r="F5" s="688"/>
      <c r="G5" s="688"/>
      <c r="H5" s="689"/>
      <c r="I5" s="687" t="s">
        <v>304</v>
      </c>
      <c r="J5" s="688"/>
      <c r="K5" s="688"/>
      <c r="L5" s="688"/>
      <c r="M5" s="688"/>
      <c r="N5" s="689"/>
      <c r="O5" s="687" t="s">
        <v>305</v>
      </c>
      <c r="P5" s="688"/>
      <c r="Q5" s="688"/>
      <c r="R5" s="688"/>
      <c r="S5" s="688"/>
      <c r="T5" s="689"/>
    </row>
    <row r="6" spans="1:20" ht="18" customHeight="1">
      <c r="A6" s="682"/>
      <c r="B6" s="685"/>
      <c r="C6" s="687" t="s">
        <v>306</v>
      </c>
      <c r="D6" s="689"/>
      <c r="E6" s="687" t="s">
        <v>307</v>
      </c>
      <c r="F6" s="689"/>
      <c r="G6" s="687" t="s">
        <v>8</v>
      </c>
      <c r="H6" s="689"/>
      <c r="I6" s="687" t="s">
        <v>306</v>
      </c>
      <c r="J6" s="689"/>
      <c r="K6" s="687" t="s">
        <v>307</v>
      </c>
      <c r="L6" s="689"/>
      <c r="M6" s="687" t="s">
        <v>8</v>
      </c>
      <c r="N6" s="689"/>
      <c r="O6" s="687" t="s">
        <v>306</v>
      </c>
      <c r="P6" s="689"/>
      <c r="Q6" s="687" t="s">
        <v>307</v>
      </c>
      <c r="R6" s="689"/>
      <c r="S6" s="687" t="s">
        <v>8</v>
      </c>
      <c r="T6" s="689"/>
    </row>
    <row r="7" spans="1:20" ht="18" customHeight="1">
      <c r="A7" s="683"/>
      <c r="B7" s="686"/>
      <c r="C7" s="30" t="s">
        <v>105</v>
      </c>
      <c r="D7" s="30" t="s">
        <v>41</v>
      </c>
      <c r="E7" s="30" t="s">
        <v>105</v>
      </c>
      <c r="F7" s="30" t="s">
        <v>41</v>
      </c>
      <c r="G7" s="30" t="s">
        <v>105</v>
      </c>
      <c r="H7" s="30" t="s">
        <v>41</v>
      </c>
      <c r="I7" s="30" t="s">
        <v>105</v>
      </c>
      <c r="J7" s="30" t="s">
        <v>41</v>
      </c>
      <c r="K7" s="30" t="s">
        <v>105</v>
      </c>
      <c r="L7" s="30" t="s">
        <v>41</v>
      </c>
      <c r="M7" s="30" t="s">
        <v>105</v>
      </c>
      <c r="N7" s="30" t="s">
        <v>41</v>
      </c>
      <c r="O7" s="30" t="s">
        <v>105</v>
      </c>
      <c r="P7" s="30" t="s">
        <v>41</v>
      </c>
      <c r="Q7" s="30" t="s">
        <v>105</v>
      </c>
      <c r="R7" s="30" t="s">
        <v>41</v>
      </c>
      <c r="S7" s="30" t="s">
        <v>105</v>
      </c>
      <c r="T7" s="30" t="s">
        <v>41</v>
      </c>
    </row>
    <row r="8" spans="1:20" ht="18" customHeight="1">
      <c r="A8" s="30">
        <v>1</v>
      </c>
      <c r="B8" s="31" t="s">
        <v>460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288</v>
      </c>
      <c r="J8" s="32">
        <v>256.64</v>
      </c>
      <c r="K8" s="32">
        <v>29</v>
      </c>
      <c r="L8" s="32">
        <v>23.42</v>
      </c>
      <c r="M8" s="32">
        <v>317</v>
      </c>
      <c r="N8" s="32">
        <v>280.06</v>
      </c>
      <c r="O8" s="32">
        <v>0</v>
      </c>
      <c r="P8" s="32">
        <v>0</v>
      </c>
      <c r="Q8" s="32">
        <v>0</v>
      </c>
      <c r="R8" s="32">
        <v>0</v>
      </c>
      <c r="S8" s="32">
        <v>0</v>
      </c>
      <c r="T8" s="32">
        <v>0</v>
      </c>
    </row>
    <row r="9" spans="1:20" ht="18" customHeight="1">
      <c r="A9" s="30">
        <v>2</v>
      </c>
      <c r="B9" s="31" t="s">
        <v>461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160</v>
      </c>
      <c r="J9" s="32">
        <v>126.75</v>
      </c>
      <c r="K9" s="32">
        <v>0</v>
      </c>
      <c r="L9" s="32">
        <v>0</v>
      </c>
      <c r="M9" s="32">
        <v>160</v>
      </c>
      <c r="N9" s="32">
        <v>126.75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</row>
    <row r="10" spans="1:20" ht="18" customHeight="1">
      <c r="A10" s="30">
        <v>3</v>
      </c>
      <c r="B10" s="31" t="s">
        <v>462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151</v>
      </c>
      <c r="J10" s="32">
        <v>129.94</v>
      </c>
      <c r="K10" s="32">
        <v>0</v>
      </c>
      <c r="L10" s="32">
        <v>0</v>
      </c>
      <c r="M10" s="32">
        <v>151</v>
      </c>
      <c r="N10" s="32">
        <v>129.94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</row>
    <row r="11" spans="1:20" ht="18" customHeight="1">
      <c r="A11" s="30">
        <v>4</v>
      </c>
      <c r="B11" s="31" t="s">
        <v>463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51</v>
      </c>
      <c r="J11" s="32">
        <v>46.72</v>
      </c>
      <c r="K11" s="32">
        <v>0</v>
      </c>
      <c r="L11" s="32">
        <v>0</v>
      </c>
      <c r="M11" s="32">
        <v>51</v>
      </c>
      <c r="N11" s="32">
        <v>46.72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</row>
    <row r="12" spans="1:20" ht="18" customHeight="1">
      <c r="A12" s="30">
        <v>5</v>
      </c>
      <c r="B12" s="31" t="s">
        <v>464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327</v>
      </c>
      <c r="J12" s="32">
        <v>261.67</v>
      </c>
      <c r="K12" s="32">
        <v>98</v>
      </c>
      <c r="L12" s="32">
        <v>81.19</v>
      </c>
      <c r="M12" s="32">
        <v>425</v>
      </c>
      <c r="N12" s="32">
        <v>342.86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</row>
    <row r="13" spans="1:20" ht="18" customHeight="1">
      <c r="A13" s="676" t="s">
        <v>8</v>
      </c>
      <c r="B13" s="677"/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977</v>
      </c>
      <c r="J13" s="32">
        <v>821.72</v>
      </c>
      <c r="K13" s="32">
        <v>127</v>
      </c>
      <c r="L13" s="32">
        <v>104.61</v>
      </c>
      <c r="M13" s="32">
        <v>1104</v>
      </c>
      <c r="N13" s="32">
        <v>926.33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32">
        <v>0</v>
      </c>
    </row>
    <row r="14" spans="1:20" ht="18" customHeight="1">
      <c r="A14" s="678" t="s">
        <v>458</v>
      </c>
      <c r="B14" s="679"/>
      <c r="C14" s="679"/>
      <c r="D14" s="679"/>
      <c r="E14" s="679"/>
      <c r="F14" s="679"/>
      <c r="G14" s="679"/>
      <c r="H14" s="679"/>
      <c r="I14" s="679"/>
      <c r="J14" s="679"/>
      <c r="K14" s="679"/>
      <c r="L14" s="679"/>
      <c r="M14" s="679"/>
      <c r="N14" s="679"/>
      <c r="O14" s="679"/>
      <c r="P14" s="679"/>
      <c r="Q14" s="679"/>
      <c r="R14" s="679"/>
      <c r="S14" s="679"/>
      <c r="T14" s="680"/>
    </row>
    <row r="15" spans="1:20" ht="18" customHeight="1">
      <c r="A15" s="678" t="s">
        <v>465</v>
      </c>
      <c r="B15" s="679"/>
      <c r="C15" s="679"/>
      <c r="D15" s="679"/>
      <c r="E15" s="679"/>
      <c r="F15" s="679"/>
      <c r="G15" s="679"/>
      <c r="H15" s="679"/>
      <c r="I15" s="679"/>
      <c r="J15" s="679"/>
      <c r="K15" s="679"/>
      <c r="L15" s="679"/>
      <c r="M15" s="679"/>
      <c r="N15" s="679"/>
      <c r="O15" s="679"/>
      <c r="P15" s="679"/>
      <c r="Q15" s="679"/>
      <c r="R15" s="679"/>
      <c r="S15" s="679"/>
      <c r="T15" s="680"/>
    </row>
    <row r="16" spans="1:20" ht="18" customHeight="1">
      <c r="A16" s="681" t="s">
        <v>301</v>
      </c>
      <c r="B16" s="684" t="s">
        <v>302</v>
      </c>
      <c r="C16" s="687" t="s">
        <v>303</v>
      </c>
      <c r="D16" s="688"/>
      <c r="E16" s="688"/>
      <c r="F16" s="688"/>
      <c r="G16" s="688"/>
      <c r="H16" s="689"/>
      <c r="I16" s="687" t="s">
        <v>304</v>
      </c>
      <c r="J16" s="688"/>
      <c r="K16" s="688"/>
      <c r="L16" s="688"/>
      <c r="M16" s="688"/>
      <c r="N16" s="689"/>
      <c r="O16" s="687" t="s">
        <v>305</v>
      </c>
      <c r="P16" s="688"/>
      <c r="Q16" s="688"/>
      <c r="R16" s="688"/>
      <c r="S16" s="688"/>
      <c r="T16" s="689"/>
    </row>
    <row r="17" spans="1:20" ht="18" customHeight="1">
      <c r="A17" s="682"/>
      <c r="B17" s="685"/>
      <c r="C17" s="687" t="s">
        <v>306</v>
      </c>
      <c r="D17" s="689"/>
      <c r="E17" s="687" t="s">
        <v>307</v>
      </c>
      <c r="F17" s="689"/>
      <c r="G17" s="687" t="s">
        <v>8</v>
      </c>
      <c r="H17" s="689"/>
      <c r="I17" s="687" t="s">
        <v>306</v>
      </c>
      <c r="J17" s="689"/>
      <c r="K17" s="687" t="s">
        <v>307</v>
      </c>
      <c r="L17" s="689"/>
      <c r="M17" s="687" t="s">
        <v>8</v>
      </c>
      <c r="N17" s="689"/>
      <c r="O17" s="687" t="s">
        <v>306</v>
      </c>
      <c r="P17" s="689"/>
      <c r="Q17" s="687" t="s">
        <v>307</v>
      </c>
      <c r="R17" s="689"/>
      <c r="S17" s="687" t="s">
        <v>8</v>
      </c>
      <c r="T17" s="689"/>
    </row>
    <row r="18" spans="1:20" ht="18" customHeight="1">
      <c r="A18" s="683"/>
      <c r="B18" s="686"/>
      <c r="C18" s="30" t="s">
        <v>105</v>
      </c>
      <c r="D18" s="30" t="s">
        <v>41</v>
      </c>
      <c r="E18" s="30" t="s">
        <v>105</v>
      </c>
      <c r="F18" s="30" t="s">
        <v>41</v>
      </c>
      <c r="G18" s="30" t="s">
        <v>105</v>
      </c>
      <c r="H18" s="30" t="s">
        <v>41</v>
      </c>
      <c r="I18" s="30" t="s">
        <v>105</v>
      </c>
      <c r="J18" s="30" t="s">
        <v>41</v>
      </c>
      <c r="K18" s="30" t="s">
        <v>105</v>
      </c>
      <c r="L18" s="30" t="s">
        <v>41</v>
      </c>
      <c r="M18" s="30" t="s">
        <v>105</v>
      </c>
      <c r="N18" s="30" t="s">
        <v>41</v>
      </c>
      <c r="O18" s="30" t="s">
        <v>105</v>
      </c>
      <c r="P18" s="30" t="s">
        <v>41</v>
      </c>
      <c r="Q18" s="30" t="s">
        <v>105</v>
      </c>
      <c r="R18" s="30" t="s">
        <v>41</v>
      </c>
      <c r="S18" s="30" t="s">
        <v>105</v>
      </c>
      <c r="T18" s="30" t="s">
        <v>41</v>
      </c>
    </row>
    <row r="19" spans="1:20" ht="18" customHeight="1">
      <c r="A19" s="30">
        <v>1</v>
      </c>
      <c r="B19" s="31" t="s">
        <v>466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87</v>
      </c>
      <c r="J19" s="32">
        <v>57.17</v>
      </c>
      <c r="K19" s="32">
        <v>64</v>
      </c>
      <c r="L19" s="32">
        <v>42.86</v>
      </c>
      <c r="M19" s="32">
        <v>151</v>
      </c>
      <c r="N19" s="32">
        <v>100.03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</row>
    <row r="20" spans="1:20" ht="18" customHeight="1">
      <c r="A20" s="30">
        <v>2</v>
      </c>
      <c r="B20" s="31" t="s">
        <v>308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413</v>
      </c>
      <c r="J20" s="32">
        <v>381.36</v>
      </c>
      <c r="K20" s="32">
        <v>89</v>
      </c>
      <c r="L20" s="32">
        <v>54.42</v>
      </c>
      <c r="M20" s="32">
        <v>502</v>
      </c>
      <c r="N20" s="32">
        <v>435.78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</row>
    <row r="21" spans="1:20" ht="18" customHeight="1">
      <c r="A21" s="30">
        <v>3</v>
      </c>
      <c r="B21" s="31" t="s">
        <v>467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167</v>
      </c>
      <c r="J21" s="32">
        <v>131.16999999999999</v>
      </c>
      <c r="K21" s="32">
        <v>88</v>
      </c>
      <c r="L21" s="32">
        <v>60.19</v>
      </c>
      <c r="M21" s="32">
        <v>255</v>
      </c>
      <c r="N21" s="32">
        <v>191.36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</row>
    <row r="22" spans="1:20" ht="18" customHeight="1">
      <c r="A22" s="30">
        <v>4</v>
      </c>
      <c r="B22" s="31" t="s">
        <v>468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72</v>
      </c>
      <c r="J22" s="32">
        <v>59.97</v>
      </c>
      <c r="K22" s="32">
        <v>68</v>
      </c>
      <c r="L22" s="32">
        <v>50.25</v>
      </c>
      <c r="M22" s="32">
        <v>140</v>
      </c>
      <c r="N22" s="32">
        <v>110.22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</row>
    <row r="23" spans="1:20" ht="18" customHeight="1">
      <c r="A23" s="30">
        <v>5</v>
      </c>
      <c r="B23" s="31" t="s">
        <v>469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47</v>
      </c>
      <c r="R23" s="32">
        <v>37.06</v>
      </c>
      <c r="S23" s="32">
        <v>47</v>
      </c>
      <c r="T23" s="32">
        <v>37.06</v>
      </c>
    </row>
    <row r="24" spans="1:20" ht="18" customHeight="1">
      <c r="A24" s="30">
        <v>6</v>
      </c>
      <c r="B24" s="31" t="s">
        <v>309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487</v>
      </c>
      <c r="J24" s="32">
        <v>434.89</v>
      </c>
      <c r="K24" s="32">
        <v>109</v>
      </c>
      <c r="L24" s="32">
        <v>90.44</v>
      </c>
      <c r="M24" s="32">
        <v>596</v>
      </c>
      <c r="N24" s="32">
        <v>525.33000000000004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</row>
    <row r="25" spans="1:20" ht="18" customHeight="1">
      <c r="A25" s="30">
        <v>7</v>
      </c>
      <c r="B25" s="31" t="s">
        <v>310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529</v>
      </c>
      <c r="J25" s="32">
        <v>482.72</v>
      </c>
      <c r="K25" s="32">
        <v>109</v>
      </c>
      <c r="L25" s="32">
        <v>83.42</v>
      </c>
      <c r="M25" s="32">
        <v>638</v>
      </c>
      <c r="N25" s="32">
        <v>566.14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</row>
    <row r="26" spans="1:20" ht="18" customHeight="1">
      <c r="A26" s="30">
        <v>8</v>
      </c>
      <c r="B26" s="31" t="s">
        <v>311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100</v>
      </c>
      <c r="J26" s="32">
        <v>84.64</v>
      </c>
      <c r="K26" s="32">
        <v>0</v>
      </c>
      <c r="L26" s="32">
        <v>0</v>
      </c>
      <c r="M26" s="32">
        <v>100</v>
      </c>
      <c r="N26" s="32">
        <v>84.64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</row>
    <row r="27" spans="1:20" ht="18" customHeight="1">
      <c r="A27" s="30">
        <v>9</v>
      </c>
      <c r="B27" s="31" t="s">
        <v>312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497</v>
      </c>
      <c r="J27" s="32">
        <v>412.14</v>
      </c>
      <c r="K27" s="32">
        <v>73</v>
      </c>
      <c r="L27" s="32">
        <v>48.97</v>
      </c>
      <c r="M27" s="32">
        <v>570</v>
      </c>
      <c r="N27" s="32">
        <v>461.11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</row>
    <row r="28" spans="1:20" ht="18" customHeight="1">
      <c r="A28" s="676" t="s">
        <v>8</v>
      </c>
      <c r="B28" s="677"/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2352</v>
      </c>
      <c r="J28" s="32">
        <v>2044.06</v>
      </c>
      <c r="K28" s="32">
        <v>600</v>
      </c>
      <c r="L28" s="32">
        <v>430.55</v>
      </c>
      <c r="M28" s="32">
        <v>2952</v>
      </c>
      <c r="N28" s="32">
        <v>2474.61</v>
      </c>
      <c r="O28" s="32">
        <v>0</v>
      </c>
      <c r="P28" s="32">
        <v>0</v>
      </c>
      <c r="Q28" s="32">
        <v>47</v>
      </c>
      <c r="R28" s="32">
        <v>37.06</v>
      </c>
      <c r="S28" s="32">
        <v>47</v>
      </c>
      <c r="T28" s="32">
        <v>37.06</v>
      </c>
    </row>
    <row r="29" spans="1:20" ht="18" customHeight="1">
      <c r="A29" s="678" t="s">
        <v>458</v>
      </c>
      <c r="B29" s="679"/>
      <c r="C29" s="679"/>
      <c r="D29" s="679"/>
      <c r="E29" s="679"/>
      <c r="F29" s="679"/>
      <c r="G29" s="679"/>
      <c r="H29" s="679"/>
      <c r="I29" s="679"/>
      <c r="J29" s="679"/>
      <c r="K29" s="679"/>
      <c r="L29" s="679"/>
      <c r="M29" s="679"/>
      <c r="N29" s="679"/>
      <c r="O29" s="679"/>
      <c r="P29" s="679"/>
      <c r="Q29" s="679"/>
      <c r="R29" s="679"/>
      <c r="S29" s="679"/>
      <c r="T29" s="680"/>
    </row>
    <row r="30" spans="1:20" ht="18" customHeight="1">
      <c r="A30" s="678" t="s">
        <v>470</v>
      </c>
      <c r="B30" s="679"/>
      <c r="C30" s="679"/>
      <c r="D30" s="679"/>
      <c r="E30" s="679"/>
      <c r="F30" s="679"/>
      <c r="G30" s="679"/>
      <c r="H30" s="679"/>
      <c r="I30" s="679"/>
      <c r="J30" s="679"/>
      <c r="K30" s="679"/>
      <c r="L30" s="679"/>
      <c r="M30" s="679"/>
      <c r="N30" s="679"/>
      <c r="O30" s="679"/>
      <c r="P30" s="679"/>
      <c r="Q30" s="679"/>
      <c r="R30" s="679"/>
      <c r="S30" s="679"/>
      <c r="T30" s="680"/>
    </row>
    <row r="31" spans="1:20" ht="18" customHeight="1">
      <c r="A31" s="681" t="s">
        <v>301</v>
      </c>
      <c r="B31" s="684" t="s">
        <v>302</v>
      </c>
      <c r="C31" s="687" t="s">
        <v>303</v>
      </c>
      <c r="D31" s="688"/>
      <c r="E31" s="688"/>
      <c r="F31" s="688"/>
      <c r="G31" s="688"/>
      <c r="H31" s="689"/>
      <c r="I31" s="687" t="s">
        <v>304</v>
      </c>
      <c r="J31" s="688"/>
      <c r="K31" s="688"/>
      <c r="L31" s="688"/>
      <c r="M31" s="688"/>
      <c r="N31" s="689"/>
      <c r="O31" s="687" t="s">
        <v>305</v>
      </c>
      <c r="P31" s="688"/>
      <c r="Q31" s="688"/>
      <c r="R31" s="688"/>
      <c r="S31" s="688"/>
      <c r="T31" s="689"/>
    </row>
    <row r="32" spans="1:20" ht="18" customHeight="1">
      <c r="A32" s="682"/>
      <c r="B32" s="685"/>
      <c r="C32" s="687" t="s">
        <v>306</v>
      </c>
      <c r="D32" s="689"/>
      <c r="E32" s="687" t="s">
        <v>307</v>
      </c>
      <c r="F32" s="689"/>
      <c r="G32" s="687" t="s">
        <v>8</v>
      </c>
      <c r="H32" s="689"/>
      <c r="I32" s="687" t="s">
        <v>306</v>
      </c>
      <c r="J32" s="689"/>
      <c r="K32" s="687" t="s">
        <v>307</v>
      </c>
      <c r="L32" s="689"/>
      <c r="M32" s="687" t="s">
        <v>8</v>
      </c>
      <c r="N32" s="689"/>
      <c r="O32" s="687" t="s">
        <v>306</v>
      </c>
      <c r="P32" s="689"/>
      <c r="Q32" s="687" t="s">
        <v>307</v>
      </c>
      <c r="R32" s="689"/>
      <c r="S32" s="687" t="s">
        <v>8</v>
      </c>
      <c r="T32" s="689"/>
    </row>
    <row r="33" spans="1:20" ht="18" customHeight="1">
      <c r="A33" s="683"/>
      <c r="B33" s="686"/>
      <c r="C33" s="30" t="s">
        <v>105</v>
      </c>
      <c r="D33" s="30" t="s">
        <v>41</v>
      </c>
      <c r="E33" s="30" t="s">
        <v>105</v>
      </c>
      <c r="F33" s="30" t="s">
        <v>41</v>
      </c>
      <c r="G33" s="30" t="s">
        <v>105</v>
      </c>
      <c r="H33" s="30" t="s">
        <v>41</v>
      </c>
      <c r="I33" s="30" t="s">
        <v>105</v>
      </c>
      <c r="J33" s="30" t="s">
        <v>41</v>
      </c>
      <c r="K33" s="30" t="s">
        <v>105</v>
      </c>
      <c r="L33" s="30" t="s">
        <v>41</v>
      </c>
      <c r="M33" s="30" t="s">
        <v>105</v>
      </c>
      <c r="N33" s="30" t="s">
        <v>41</v>
      </c>
      <c r="O33" s="30" t="s">
        <v>105</v>
      </c>
      <c r="P33" s="30" t="s">
        <v>41</v>
      </c>
      <c r="Q33" s="30" t="s">
        <v>105</v>
      </c>
      <c r="R33" s="30" t="s">
        <v>41</v>
      </c>
      <c r="S33" s="30" t="s">
        <v>105</v>
      </c>
      <c r="T33" s="30" t="s">
        <v>41</v>
      </c>
    </row>
    <row r="34" spans="1:20" ht="18" customHeight="1">
      <c r="A34" s="30">
        <v>1</v>
      </c>
      <c r="B34" s="31" t="s">
        <v>471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154</v>
      </c>
      <c r="J34" s="32">
        <v>128.75</v>
      </c>
      <c r="K34" s="32">
        <v>0</v>
      </c>
      <c r="L34" s="32">
        <v>0</v>
      </c>
      <c r="M34" s="32">
        <v>154</v>
      </c>
      <c r="N34" s="32">
        <v>128.75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</row>
    <row r="35" spans="1:20" ht="18" customHeight="1">
      <c r="A35" s="30">
        <v>2</v>
      </c>
      <c r="B35" s="31" t="s">
        <v>472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167</v>
      </c>
      <c r="J35" s="32">
        <v>130.66999999999999</v>
      </c>
      <c r="K35" s="32">
        <v>66</v>
      </c>
      <c r="L35" s="32">
        <v>49.08</v>
      </c>
      <c r="M35" s="32">
        <v>233</v>
      </c>
      <c r="N35" s="32">
        <v>179.75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</row>
    <row r="36" spans="1:20" ht="18" customHeight="1">
      <c r="A36" s="30">
        <v>3</v>
      </c>
      <c r="B36" s="31" t="s">
        <v>473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136</v>
      </c>
      <c r="J36" s="32">
        <v>122.19</v>
      </c>
      <c r="K36" s="32">
        <v>0</v>
      </c>
      <c r="L36" s="32">
        <v>0</v>
      </c>
      <c r="M36" s="32">
        <v>136</v>
      </c>
      <c r="N36" s="32">
        <v>122.19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32">
        <v>0</v>
      </c>
    </row>
    <row r="37" spans="1:20" ht="18" customHeight="1">
      <c r="A37" s="30">
        <v>4</v>
      </c>
      <c r="B37" s="31" t="s">
        <v>313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196</v>
      </c>
      <c r="J37" s="32">
        <v>158.75</v>
      </c>
      <c r="K37" s="32">
        <v>27</v>
      </c>
      <c r="L37" s="32">
        <v>6.25</v>
      </c>
      <c r="M37" s="32">
        <v>223</v>
      </c>
      <c r="N37" s="32">
        <v>165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0</v>
      </c>
    </row>
    <row r="38" spans="1:20" ht="18" customHeight="1">
      <c r="A38" s="30">
        <v>5</v>
      </c>
      <c r="B38" s="31" t="s">
        <v>461</v>
      </c>
      <c r="C38" s="32">
        <v>0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211</v>
      </c>
      <c r="J38" s="32">
        <v>171.81</v>
      </c>
      <c r="K38" s="32">
        <v>31</v>
      </c>
      <c r="L38" s="32">
        <v>23.56</v>
      </c>
      <c r="M38" s="32">
        <v>242</v>
      </c>
      <c r="N38" s="32">
        <v>195.37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</row>
    <row r="39" spans="1:20" ht="18" customHeight="1">
      <c r="A39" s="30">
        <v>6</v>
      </c>
      <c r="B39" s="31" t="s">
        <v>474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161</v>
      </c>
      <c r="J39" s="32">
        <v>156.38999999999999</v>
      </c>
      <c r="K39" s="32">
        <v>86</v>
      </c>
      <c r="L39" s="32">
        <v>67.56</v>
      </c>
      <c r="M39" s="32">
        <v>247</v>
      </c>
      <c r="N39" s="32">
        <v>223.95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32">
        <v>0</v>
      </c>
    </row>
    <row r="40" spans="1:20" ht="18" customHeight="1">
      <c r="A40" s="30">
        <v>7</v>
      </c>
      <c r="B40" s="31" t="s">
        <v>475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68</v>
      </c>
      <c r="J40" s="32">
        <v>54.06</v>
      </c>
      <c r="K40" s="32">
        <v>0</v>
      </c>
      <c r="L40" s="32">
        <v>0</v>
      </c>
      <c r="M40" s="32">
        <v>68</v>
      </c>
      <c r="N40" s="32">
        <v>54.06</v>
      </c>
      <c r="O40" s="32">
        <v>0</v>
      </c>
      <c r="P40" s="32">
        <v>0</v>
      </c>
      <c r="Q40" s="32">
        <v>0</v>
      </c>
      <c r="R40" s="32">
        <v>0</v>
      </c>
      <c r="S40" s="32">
        <v>0</v>
      </c>
      <c r="T40" s="32">
        <v>0</v>
      </c>
    </row>
    <row r="41" spans="1:20" ht="18" customHeight="1">
      <c r="A41" s="30">
        <v>8</v>
      </c>
      <c r="B41" s="31" t="s">
        <v>476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148</v>
      </c>
      <c r="J41" s="32">
        <v>139.63999999999999</v>
      </c>
      <c r="K41" s="32">
        <v>96</v>
      </c>
      <c r="L41" s="32">
        <v>67.25</v>
      </c>
      <c r="M41" s="32">
        <v>244</v>
      </c>
      <c r="N41" s="32">
        <v>206.89</v>
      </c>
      <c r="O41" s="32">
        <v>0</v>
      </c>
      <c r="P41" s="32">
        <v>0</v>
      </c>
      <c r="Q41" s="32">
        <v>0</v>
      </c>
      <c r="R41" s="32">
        <v>0</v>
      </c>
      <c r="S41" s="32">
        <v>0</v>
      </c>
      <c r="T41" s="32">
        <v>0</v>
      </c>
    </row>
    <row r="42" spans="1:20" ht="18" customHeight="1">
      <c r="A42" s="30">
        <v>9</v>
      </c>
      <c r="B42" s="31" t="s">
        <v>314</v>
      </c>
      <c r="C42" s="32">
        <v>0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273</v>
      </c>
      <c r="J42" s="32">
        <v>265.52999999999997</v>
      </c>
      <c r="K42" s="32">
        <v>5</v>
      </c>
      <c r="L42" s="32">
        <v>1.61</v>
      </c>
      <c r="M42" s="32">
        <v>278</v>
      </c>
      <c r="N42" s="32">
        <v>267.14</v>
      </c>
      <c r="O42" s="32">
        <v>3</v>
      </c>
      <c r="P42" s="32">
        <v>2</v>
      </c>
      <c r="Q42" s="32">
        <v>21</v>
      </c>
      <c r="R42" s="32">
        <v>16.38</v>
      </c>
      <c r="S42" s="32">
        <v>24</v>
      </c>
      <c r="T42" s="32">
        <v>18.38</v>
      </c>
    </row>
    <row r="43" spans="1:20" ht="18" customHeight="1">
      <c r="A43" s="30">
        <v>10</v>
      </c>
      <c r="B43" s="31" t="s">
        <v>315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226</v>
      </c>
      <c r="J43" s="32">
        <v>183.22</v>
      </c>
      <c r="K43" s="32">
        <v>90</v>
      </c>
      <c r="L43" s="32">
        <v>47.67</v>
      </c>
      <c r="M43" s="32">
        <v>316</v>
      </c>
      <c r="N43" s="32">
        <v>230.89</v>
      </c>
      <c r="O43" s="32">
        <v>0</v>
      </c>
      <c r="P43" s="32">
        <v>0</v>
      </c>
      <c r="Q43" s="32">
        <v>0</v>
      </c>
      <c r="R43" s="32">
        <v>0</v>
      </c>
      <c r="S43" s="32">
        <v>0</v>
      </c>
      <c r="T43" s="32">
        <v>0</v>
      </c>
    </row>
    <row r="44" spans="1:20" ht="18" customHeight="1">
      <c r="A44" s="30">
        <v>11</v>
      </c>
      <c r="B44" s="31" t="s">
        <v>317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65</v>
      </c>
      <c r="J44" s="32">
        <v>59.69</v>
      </c>
      <c r="K44" s="32">
        <v>56</v>
      </c>
      <c r="L44" s="32">
        <v>44.61</v>
      </c>
      <c r="M44" s="32">
        <v>121</v>
      </c>
      <c r="N44" s="32">
        <v>104.3</v>
      </c>
      <c r="O44" s="32">
        <v>0</v>
      </c>
      <c r="P44" s="32">
        <v>0</v>
      </c>
      <c r="Q44" s="32">
        <v>0</v>
      </c>
      <c r="R44" s="32">
        <v>0</v>
      </c>
      <c r="S44" s="32">
        <v>0</v>
      </c>
      <c r="T44" s="32">
        <v>0</v>
      </c>
    </row>
    <row r="45" spans="1:20" ht="18" customHeight="1">
      <c r="A45" s="30">
        <v>12</v>
      </c>
      <c r="B45" s="31" t="s">
        <v>477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131</v>
      </c>
      <c r="J45" s="32">
        <v>107.03</v>
      </c>
      <c r="K45" s="32">
        <v>100</v>
      </c>
      <c r="L45" s="32">
        <v>69.33</v>
      </c>
      <c r="M45" s="32">
        <v>231</v>
      </c>
      <c r="N45" s="32">
        <v>176.36</v>
      </c>
      <c r="O45" s="32">
        <v>0</v>
      </c>
      <c r="P45" s="32">
        <v>0</v>
      </c>
      <c r="Q45" s="32">
        <v>0</v>
      </c>
      <c r="R45" s="32">
        <v>0</v>
      </c>
      <c r="S45" s="32">
        <v>0</v>
      </c>
      <c r="T45" s="32">
        <v>0</v>
      </c>
    </row>
    <row r="46" spans="1:20" ht="18" customHeight="1">
      <c r="A46" s="676" t="s">
        <v>8</v>
      </c>
      <c r="B46" s="677"/>
      <c r="C46" s="32">
        <v>0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1936</v>
      </c>
      <c r="J46" s="32">
        <v>1677.73</v>
      </c>
      <c r="K46" s="32">
        <v>557</v>
      </c>
      <c r="L46" s="32">
        <v>376.92</v>
      </c>
      <c r="M46" s="32">
        <v>2493</v>
      </c>
      <c r="N46" s="32">
        <v>2054.65</v>
      </c>
      <c r="O46" s="32">
        <v>3</v>
      </c>
      <c r="P46" s="32">
        <v>2</v>
      </c>
      <c r="Q46" s="32">
        <v>21</v>
      </c>
      <c r="R46" s="32">
        <v>16.38</v>
      </c>
      <c r="S46" s="32">
        <v>24</v>
      </c>
      <c r="T46" s="32">
        <v>18.38</v>
      </c>
    </row>
    <row r="47" spans="1:20" ht="18" customHeight="1">
      <c r="A47" s="678" t="s">
        <v>458</v>
      </c>
      <c r="B47" s="679"/>
      <c r="C47" s="679"/>
      <c r="D47" s="679"/>
      <c r="E47" s="679"/>
      <c r="F47" s="679"/>
      <c r="G47" s="679"/>
      <c r="H47" s="679"/>
      <c r="I47" s="679"/>
      <c r="J47" s="679"/>
      <c r="K47" s="679"/>
      <c r="L47" s="679"/>
      <c r="M47" s="679"/>
      <c r="N47" s="679"/>
      <c r="O47" s="679"/>
      <c r="P47" s="679"/>
      <c r="Q47" s="679"/>
      <c r="R47" s="679"/>
      <c r="S47" s="679"/>
      <c r="T47" s="680"/>
    </row>
    <row r="48" spans="1:20" ht="18" customHeight="1">
      <c r="A48" s="678" t="s">
        <v>478</v>
      </c>
      <c r="B48" s="679"/>
      <c r="C48" s="679"/>
      <c r="D48" s="679"/>
      <c r="E48" s="679"/>
      <c r="F48" s="679"/>
      <c r="G48" s="679"/>
      <c r="H48" s="679"/>
      <c r="I48" s="679"/>
      <c r="J48" s="679"/>
      <c r="K48" s="679"/>
      <c r="L48" s="679"/>
      <c r="M48" s="679"/>
      <c r="N48" s="679"/>
      <c r="O48" s="679"/>
      <c r="P48" s="679"/>
      <c r="Q48" s="679"/>
      <c r="R48" s="679"/>
      <c r="S48" s="679"/>
      <c r="T48" s="680"/>
    </row>
    <row r="49" spans="1:20" ht="18" customHeight="1">
      <c r="A49" s="681" t="s">
        <v>301</v>
      </c>
      <c r="B49" s="684" t="s">
        <v>302</v>
      </c>
      <c r="C49" s="687" t="s">
        <v>303</v>
      </c>
      <c r="D49" s="688"/>
      <c r="E49" s="688"/>
      <c r="F49" s="688"/>
      <c r="G49" s="688"/>
      <c r="H49" s="689"/>
      <c r="I49" s="687" t="s">
        <v>304</v>
      </c>
      <c r="J49" s="688"/>
      <c r="K49" s="688"/>
      <c r="L49" s="688"/>
      <c r="M49" s="688"/>
      <c r="N49" s="689"/>
      <c r="O49" s="687" t="s">
        <v>305</v>
      </c>
      <c r="P49" s="688"/>
      <c r="Q49" s="688"/>
      <c r="R49" s="688"/>
      <c r="S49" s="688"/>
      <c r="T49" s="689"/>
    </row>
    <row r="50" spans="1:20" ht="18" customHeight="1">
      <c r="A50" s="682"/>
      <c r="B50" s="685"/>
      <c r="C50" s="687" t="s">
        <v>306</v>
      </c>
      <c r="D50" s="689"/>
      <c r="E50" s="687" t="s">
        <v>307</v>
      </c>
      <c r="F50" s="689"/>
      <c r="G50" s="687" t="s">
        <v>8</v>
      </c>
      <c r="H50" s="689"/>
      <c r="I50" s="687" t="s">
        <v>306</v>
      </c>
      <c r="J50" s="689"/>
      <c r="K50" s="687" t="s">
        <v>307</v>
      </c>
      <c r="L50" s="689"/>
      <c r="M50" s="687" t="s">
        <v>8</v>
      </c>
      <c r="N50" s="689"/>
      <c r="O50" s="687" t="s">
        <v>306</v>
      </c>
      <c r="P50" s="689"/>
      <c r="Q50" s="687" t="s">
        <v>307</v>
      </c>
      <c r="R50" s="689"/>
      <c r="S50" s="687" t="s">
        <v>8</v>
      </c>
      <c r="T50" s="689"/>
    </row>
    <row r="51" spans="1:20" ht="18" customHeight="1">
      <c r="A51" s="683"/>
      <c r="B51" s="686"/>
      <c r="C51" s="30" t="s">
        <v>105</v>
      </c>
      <c r="D51" s="30" t="s">
        <v>41</v>
      </c>
      <c r="E51" s="30" t="s">
        <v>105</v>
      </c>
      <c r="F51" s="30" t="s">
        <v>41</v>
      </c>
      <c r="G51" s="30" t="s">
        <v>105</v>
      </c>
      <c r="H51" s="30" t="s">
        <v>41</v>
      </c>
      <c r="I51" s="30" t="s">
        <v>105</v>
      </c>
      <c r="J51" s="30" t="s">
        <v>41</v>
      </c>
      <c r="K51" s="30" t="s">
        <v>105</v>
      </c>
      <c r="L51" s="30" t="s">
        <v>41</v>
      </c>
      <c r="M51" s="30" t="s">
        <v>105</v>
      </c>
      <c r="N51" s="30" t="s">
        <v>41</v>
      </c>
      <c r="O51" s="30" t="s">
        <v>105</v>
      </c>
      <c r="P51" s="30" t="s">
        <v>41</v>
      </c>
      <c r="Q51" s="30" t="s">
        <v>105</v>
      </c>
      <c r="R51" s="30" t="s">
        <v>41</v>
      </c>
      <c r="S51" s="30" t="s">
        <v>105</v>
      </c>
      <c r="T51" s="30" t="s">
        <v>41</v>
      </c>
    </row>
    <row r="52" spans="1:20" ht="18" customHeight="1">
      <c r="A52" s="30">
        <v>1</v>
      </c>
      <c r="B52" s="31" t="s">
        <v>479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248</v>
      </c>
      <c r="J52" s="32">
        <v>196.5</v>
      </c>
      <c r="K52" s="32">
        <v>0</v>
      </c>
      <c r="L52" s="32">
        <v>0</v>
      </c>
      <c r="M52" s="32">
        <v>248</v>
      </c>
      <c r="N52" s="32">
        <v>196.5</v>
      </c>
      <c r="O52" s="32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</row>
    <row r="53" spans="1:20" ht="18" customHeight="1">
      <c r="A53" s="30">
        <v>2</v>
      </c>
      <c r="B53" s="31" t="s">
        <v>318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324</v>
      </c>
      <c r="J53" s="32">
        <v>277.61</v>
      </c>
      <c r="K53" s="32">
        <v>0</v>
      </c>
      <c r="L53" s="32">
        <v>0</v>
      </c>
      <c r="M53" s="32">
        <v>324</v>
      </c>
      <c r="N53" s="32">
        <v>277.61</v>
      </c>
      <c r="O53" s="32">
        <v>0</v>
      </c>
      <c r="P53" s="32">
        <v>0</v>
      </c>
      <c r="Q53" s="32">
        <v>0</v>
      </c>
      <c r="R53" s="32">
        <v>0</v>
      </c>
      <c r="S53" s="32">
        <v>0</v>
      </c>
      <c r="T53" s="32">
        <v>0</v>
      </c>
    </row>
    <row r="54" spans="1:20" ht="18" customHeight="1">
      <c r="A54" s="30">
        <v>3</v>
      </c>
      <c r="B54" s="31" t="s">
        <v>480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131</v>
      </c>
      <c r="J54" s="32">
        <v>112.97</v>
      </c>
      <c r="K54" s="32">
        <v>0</v>
      </c>
      <c r="L54" s="32">
        <v>0</v>
      </c>
      <c r="M54" s="32">
        <v>131</v>
      </c>
      <c r="N54" s="32">
        <v>112.97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</row>
    <row r="55" spans="1:20" ht="18" customHeight="1">
      <c r="A55" s="30">
        <v>4</v>
      </c>
      <c r="B55" s="31" t="s">
        <v>319</v>
      </c>
      <c r="C55" s="32">
        <v>0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336</v>
      </c>
      <c r="J55" s="32">
        <v>301.97000000000003</v>
      </c>
      <c r="K55" s="32">
        <v>85</v>
      </c>
      <c r="L55" s="32">
        <v>76.42</v>
      </c>
      <c r="M55" s="32">
        <v>421</v>
      </c>
      <c r="N55" s="32">
        <v>378.39</v>
      </c>
      <c r="O55" s="32">
        <v>0</v>
      </c>
      <c r="P55" s="32">
        <v>0</v>
      </c>
      <c r="Q55" s="32">
        <v>0</v>
      </c>
      <c r="R55" s="32">
        <v>0</v>
      </c>
      <c r="S55" s="32">
        <v>0</v>
      </c>
      <c r="T55" s="32">
        <v>0</v>
      </c>
    </row>
    <row r="56" spans="1:20" ht="18" customHeight="1">
      <c r="A56" s="30">
        <v>5</v>
      </c>
      <c r="B56" s="31" t="s">
        <v>320</v>
      </c>
      <c r="C56" s="32">
        <v>0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317</v>
      </c>
      <c r="J56" s="32">
        <v>275.31</v>
      </c>
      <c r="K56" s="32">
        <v>0</v>
      </c>
      <c r="L56" s="32">
        <v>0</v>
      </c>
      <c r="M56" s="32">
        <v>317</v>
      </c>
      <c r="N56" s="32">
        <v>275.31</v>
      </c>
      <c r="O56" s="32">
        <v>0</v>
      </c>
      <c r="P56" s="32">
        <v>0</v>
      </c>
      <c r="Q56" s="32">
        <v>0</v>
      </c>
      <c r="R56" s="32">
        <v>0</v>
      </c>
      <c r="S56" s="32">
        <v>0</v>
      </c>
      <c r="T56" s="32">
        <v>0</v>
      </c>
    </row>
    <row r="57" spans="1:20" ht="18" customHeight="1">
      <c r="A57" s="676" t="s">
        <v>8</v>
      </c>
      <c r="B57" s="677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1356</v>
      </c>
      <c r="J57" s="32">
        <v>1164.3599999999999</v>
      </c>
      <c r="K57" s="32">
        <v>85</v>
      </c>
      <c r="L57" s="32">
        <v>76.42</v>
      </c>
      <c r="M57" s="32">
        <v>1441</v>
      </c>
      <c r="N57" s="32">
        <v>1240.78</v>
      </c>
      <c r="O57" s="32">
        <v>0</v>
      </c>
      <c r="P57" s="32">
        <v>0</v>
      </c>
      <c r="Q57" s="32">
        <v>0</v>
      </c>
      <c r="R57" s="32">
        <v>0</v>
      </c>
      <c r="S57" s="32">
        <v>0</v>
      </c>
      <c r="T57" s="32">
        <v>0</v>
      </c>
    </row>
    <row r="58" spans="1:20" ht="18" customHeight="1">
      <c r="A58" s="385"/>
      <c r="B58" s="387"/>
      <c r="C58" s="387"/>
      <c r="D58" s="387"/>
      <c r="E58" s="387"/>
      <c r="F58" s="387"/>
      <c r="G58" s="387"/>
      <c r="H58" s="387"/>
      <c r="I58" s="387"/>
      <c r="J58" s="387"/>
      <c r="K58" s="387"/>
      <c r="L58" s="387"/>
      <c r="M58" s="387"/>
      <c r="N58" s="387"/>
      <c r="O58" s="387"/>
      <c r="P58" s="387"/>
      <c r="Q58" s="387"/>
      <c r="R58" s="387"/>
      <c r="S58" s="387"/>
      <c r="T58" s="386"/>
    </row>
    <row r="59" spans="1:20" ht="18" customHeight="1">
      <c r="A59" s="678" t="s">
        <v>458</v>
      </c>
      <c r="B59" s="679"/>
      <c r="C59" s="679"/>
      <c r="D59" s="679"/>
      <c r="E59" s="679"/>
      <c r="F59" s="679"/>
      <c r="G59" s="679"/>
      <c r="H59" s="679"/>
      <c r="I59" s="679"/>
      <c r="J59" s="679"/>
      <c r="K59" s="679"/>
      <c r="L59" s="679"/>
      <c r="M59" s="679"/>
      <c r="N59" s="679"/>
      <c r="O59" s="679"/>
      <c r="P59" s="679"/>
      <c r="Q59" s="679"/>
      <c r="R59" s="679"/>
      <c r="S59" s="679"/>
      <c r="T59" s="680"/>
    </row>
    <row r="60" spans="1:20" ht="18" customHeight="1">
      <c r="A60" s="678" t="s">
        <v>481</v>
      </c>
      <c r="B60" s="679"/>
      <c r="C60" s="679"/>
      <c r="D60" s="679"/>
      <c r="E60" s="679"/>
      <c r="F60" s="679"/>
      <c r="G60" s="679"/>
      <c r="H60" s="679"/>
      <c r="I60" s="679"/>
      <c r="J60" s="679"/>
      <c r="K60" s="679"/>
      <c r="L60" s="679"/>
      <c r="M60" s="679"/>
      <c r="N60" s="679"/>
      <c r="O60" s="679"/>
      <c r="P60" s="679"/>
      <c r="Q60" s="679"/>
      <c r="R60" s="679"/>
      <c r="S60" s="679"/>
      <c r="T60" s="680"/>
    </row>
    <row r="61" spans="1:20" ht="18" customHeight="1">
      <c r="A61" s="681" t="s">
        <v>301</v>
      </c>
      <c r="B61" s="684" t="s">
        <v>302</v>
      </c>
      <c r="C61" s="687" t="s">
        <v>303</v>
      </c>
      <c r="D61" s="688"/>
      <c r="E61" s="688"/>
      <c r="F61" s="688"/>
      <c r="G61" s="688"/>
      <c r="H61" s="689"/>
      <c r="I61" s="687" t="s">
        <v>304</v>
      </c>
      <c r="J61" s="688"/>
      <c r="K61" s="688"/>
      <c r="L61" s="688"/>
      <c r="M61" s="688"/>
      <c r="N61" s="689"/>
      <c r="O61" s="687" t="s">
        <v>305</v>
      </c>
      <c r="P61" s="688"/>
      <c r="Q61" s="688"/>
      <c r="R61" s="688"/>
      <c r="S61" s="688"/>
      <c r="T61" s="689"/>
    </row>
    <row r="62" spans="1:20" ht="18" customHeight="1">
      <c r="A62" s="682"/>
      <c r="B62" s="685"/>
      <c r="C62" s="687" t="s">
        <v>306</v>
      </c>
      <c r="D62" s="689"/>
      <c r="E62" s="687" t="s">
        <v>307</v>
      </c>
      <c r="F62" s="689"/>
      <c r="G62" s="687" t="s">
        <v>8</v>
      </c>
      <c r="H62" s="689"/>
      <c r="I62" s="687" t="s">
        <v>306</v>
      </c>
      <c r="J62" s="689"/>
      <c r="K62" s="687" t="s">
        <v>307</v>
      </c>
      <c r="L62" s="689"/>
      <c r="M62" s="687" t="s">
        <v>8</v>
      </c>
      <c r="N62" s="689"/>
      <c r="O62" s="687" t="s">
        <v>306</v>
      </c>
      <c r="P62" s="689"/>
      <c r="Q62" s="687" t="s">
        <v>307</v>
      </c>
      <c r="R62" s="689"/>
      <c r="S62" s="687" t="s">
        <v>8</v>
      </c>
      <c r="T62" s="689"/>
    </row>
    <row r="63" spans="1:20" ht="18" customHeight="1">
      <c r="A63" s="683"/>
      <c r="B63" s="686"/>
      <c r="C63" s="30" t="s">
        <v>105</v>
      </c>
      <c r="D63" s="30" t="s">
        <v>41</v>
      </c>
      <c r="E63" s="30" t="s">
        <v>105</v>
      </c>
      <c r="F63" s="30" t="s">
        <v>41</v>
      </c>
      <c r="G63" s="30" t="s">
        <v>105</v>
      </c>
      <c r="H63" s="30" t="s">
        <v>41</v>
      </c>
      <c r="I63" s="30" t="s">
        <v>105</v>
      </c>
      <c r="J63" s="30" t="s">
        <v>41</v>
      </c>
      <c r="K63" s="30" t="s">
        <v>105</v>
      </c>
      <c r="L63" s="30" t="s">
        <v>41</v>
      </c>
      <c r="M63" s="30" t="s">
        <v>105</v>
      </c>
      <c r="N63" s="30" t="s">
        <v>41</v>
      </c>
      <c r="O63" s="30" t="s">
        <v>105</v>
      </c>
      <c r="P63" s="30" t="s">
        <v>41</v>
      </c>
      <c r="Q63" s="30" t="s">
        <v>105</v>
      </c>
      <c r="R63" s="30" t="s">
        <v>41</v>
      </c>
      <c r="S63" s="30" t="s">
        <v>105</v>
      </c>
      <c r="T63" s="30" t="s">
        <v>41</v>
      </c>
    </row>
    <row r="64" spans="1:20" ht="18" customHeight="1">
      <c r="A64" s="30">
        <v>1</v>
      </c>
      <c r="B64" s="31" t="s">
        <v>482</v>
      </c>
      <c r="C64" s="32">
        <v>0</v>
      </c>
      <c r="D64" s="32">
        <v>0</v>
      </c>
      <c r="E64" s="32">
        <v>0</v>
      </c>
      <c r="F64" s="32">
        <v>0</v>
      </c>
      <c r="G64" s="32">
        <v>0</v>
      </c>
      <c r="H64" s="32">
        <v>0</v>
      </c>
      <c r="I64" s="32">
        <v>212</v>
      </c>
      <c r="J64" s="32">
        <v>185.28</v>
      </c>
      <c r="K64" s="32">
        <v>56</v>
      </c>
      <c r="L64" s="32">
        <v>39.25</v>
      </c>
      <c r="M64" s="32">
        <v>268</v>
      </c>
      <c r="N64" s="32">
        <v>224.53</v>
      </c>
      <c r="O64" s="32">
        <v>0</v>
      </c>
      <c r="P64" s="32">
        <v>0</v>
      </c>
      <c r="Q64" s="32">
        <v>0</v>
      </c>
      <c r="R64" s="32">
        <v>0</v>
      </c>
      <c r="S64" s="32">
        <v>0</v>
      </c>
      <c r="T64" s="32">
        <v>0</v>
      </c>
    </row>
    <row r="65" spans="1:20" ht="18" customHeight="1">
      <c r="A65" s="30">
        <v>2</v>
      </c>
      <c r="B65" s="31" t="s">
        <v>483</v>
      </c>
      <c r="C65" s="32">
        <v>0</v>
      </c>
      <c r="D65" s="32">
        <v>0</v>
      </c>
      <c r="E65" s="32">
        <v>0</v>
      </c>
      <c r="F65" s="32">
        <v>0</v>
      </c>
      <c r="G65" s="32">
        <v>0</v>
      </c>
      <c r="H65" s="32">
        <v>0</v>
      </c>
      <c r="I65" s="32">
        <v>83</v>
      </c>
      <c r="J65" s="32">
        <v>69.11</v>
      </c>
      <c r="K65" s="32">
        <v>0</v>
      </c>
      <c r="L65" s="32">
        <v>0</v>
      </c>
      <c r="M65" s="32">
        <v>83</v>
      </c>
      <c r="N65" s="32">
        <v>69.11</v>
      </c>
      <c r="O65" s="32">
        <v>0</v>
      </c>
      <c r="P65" s="32">
        <v>0</v>
      </c>
      <c r="Q65" s="32">
        <v>0</v>
      </c>
      <c r="R65" s="32">
        <v>0</v>
      </c>
      <c r="S65" s="32">
        <v>0</v>
      </c>
      <c r="T65" s="32">
        <v>0</v>
      </c>
    </row>
    <row r="66" spans="1:20" ht="18" customHeight="1">
      <c r="A66" s="30">
        <v>3</v>
      </c>
      <c r="B66" s="31" t="s">
        <v>484</v>
      </c>
      <c r="C66" s="32">
        <v>0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72</v>
      </c>
      <c r="J66" s="32">
        <v>60.17</v>
      </c>
      <c r="K66" s="32">
        <v>0</v>
      </c>
      <c r="L66" s="32">
        <v>0</v>
      </c>
      <c r="M66" s="32">
        <v>72</v>
      </c>
      <c r="N66" s="32">
        <v>60.17</v>
      </c>
      <c r="O66" s="32">
        <v>0</v>
      </c>
      <c r="P66" s="32">
        <v>0</v>
      </c>
      <c r="Q66" s="32">
        <v>0</v>
      </c>
      <c r="R66" s="32">
        <v>0</v>
      </c>
      <c r="S66" s="32">
        <v>0</v>
      </c>
      <c r="T66" s="32">
        <v>0</v>
      </c>
    </row>
    <row r="67" spans="1:20" ht="18" customHeight="1">
      <c r="A67" s="30">
        <v>4</v>
      </c>
      <c r="B67" s="31" t="s">
        <v>485</v>
      </c>
      <c r="C67" s="32">
        <v>0</v>
      </c>
      <c r="D67" s="32">
        <v>0</v>
      </c>
      <c r="E67" s="32">
        <v>0</v>
      </c>
      <c r="F67" s="32">
        <v>0</v>
      </c>
      <c r="G67" s="32">
        <v>0</v>
      </c>
      <c r="H67" s="32">
        <v>0</v>
      </c>
      <c r="I67" s="32">
        <v>288</v>
      </c>
      <c r="J67" s="32">
        <v>225.17</v>
      </c>
      <c r="K67" s="32">
        <v>110</v>
      </c>
      <c r="L67" s="32">
        <v>90.17</v>
      </c>
      <c r="M67" s="32">
        <v>398</v>
      </c>
      <c r="N67" s="32">
        <v>315.33999999999997</v>
      </c>
      <c r="O67" s="32">
        <v>0</v>
      </c>
      <c r="P67" s="32">
        <v>0</v>
      </c>
      <c r="Q67" s="32">
        <v>0</v>
      </c>
      <c r="R67" s="32">
        <v>0</v>
      </c>
      <c r="S67" s="32">
        <v>0</v>
      </c>
      <c r="T67" s="32">
        <v>0</v>
      </c>
    </row>
    <row r="68" spans="1:20" ht="18" customHeight="1">
      <c r="A68" s="30">
        <v>5</v>
      </c>
      <c r="B68" s="31" t="s">
        <v>486</v>
      </c>
      <c r="C68" s="32">
        <v>0</v>
      </c>
      <c r="D68" s="32">
        <v>0</v>
      </c>
      <c r="E68" s="32">
        <v>0</v>
      </c>
      <c r="F68" s="32">
        <v>0</v>
      </c>
      <c r="G68" s="32">
        <v>0</v>
      </c>
      <c r="H68" s="32">
        <v>0</v>
      </c>
      <c r="I68" s="32">
        <v>1</v>
      </c>
      <c r="J68" s="32">
        <v>0.39</v>
      </c>
      <c r="K68" s="32">
        <v>0</v>
      </c>
      <c r="L68" s="32">
        <v>0</v>
      </c>
      <c r="M68" s="32">
        <v>1</v>
      </c>
      <c r="N68" s="32">
        <v>0.39</v>
      </c>
      <c r="O68" s="32">
        <v>0</v>
      </c>
      <c r="P68" s="32">
        <v>0</v>
      </c>
      <c r="Q68" s="32">
        <v>0</v>
      </c>
      <c r="R68" s="32">
        <v>0</v>
      </c>
      <c r="S68" s="32">
        <v>0</v>
      </c>
      <c r="T68" s="32">
        <v>0</v>
      </c>
    </row>
    <row r="69" spans="1:20" ht="18" customHeight="1">
      <c r="A69" s="676" t="s">
        <v>8</v>
      </c>
      <c r="B69" s="677"/>
      <c r="C69" s="32">
        <v>0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656</v>
      </c>
      <c r="J69" s="32">
        <v>540.12</v>
      </c>
      <c r="K69" s="32">
        <v>166</v>
      </c>
      <c r="L69" s="32">
        <v>129.41999999999999</v>
      </c>
      <c r="M69" s="32">
        <v>822</v>
      </c>
      <c r="N69" s="32">
        <v>669.54</v>
      </c>
      <c r="O69" s="32">
        <v>0</v>
      </c>
      <c r="P69" s="32">
        <v>0</v>
      </c>
      <c r="Q69" s="32">
        <v>0</v>
      </c>
      <c r="R69" s="32">
        <v>0</v>
      </c>
      <c r="S69" s="32">
        <v>0</v>
      </c>
      <c r="T69" s="32">
        <v>0</v>
      </c>
    </row>
    <row r="70" spans="1:20" ht="18" customHeight="1">
      <c r="A70" s="367"/>
      <c r="B70" s="367"/>
      <c r="C70" s="368"/>
      <c r="D70" s="368"/>
      <c r="E70" s="368"/>
      <c r="F70" s="368"/>
      <c r="G70" s="368"/>
      <c r="H70" s="368"/>
      <c r="I70" s="368"/>
      <c r="J70" s="368"/>
      <c r="K70" s="368"/>
      <c r="L70" s="368"/>
      <c r="M70" s="368"/>
      <c r="N70" s="368"/>
      <c r="O70" s="368"/>
      <c r="P70" s="368"/>
      <c r="Q70" s="368"/>
      <c r="R70" s="368"/>
      <c r="S70" s="368"/>
      <c r="T70" s="368"/>
    </row>
    <row r="71" spans="1:20" ht="18" customHeight="1">
      <c r="A71" s="690" t="s">
        <v>449</v>
      </c>
      <c r="B71" s="690"/>
    </row>
    <row r="72" spans="1:20" ht="18" customHeight="1">
      <c r="A72" s="692" t="s">
        <v>445</v>
      </c>
      <c r="B72" s="693"/>
      <c r="C72" s="693"/>
      <c r="D72" s="693"/>
      <c r="E72" s="693"/>
      <c r="F72" s="693"/>
      <c r="G72" s="693"/>
      <c r="H72" s="693"/>
      <c r="I72" s="693"/>
      <c r="J72" s="693"/>
      <c r="K72" s="693"/>
      <c r="L72" s="693"/>
      <c r="M72" s="693"/>
      <c r="N72" s="693"/>
      <c r="O72" s="693"/>
      <c r="P72" s="693"/>
      <c r="Q72" s="693"/>
      <c r="R72" s="693"/>
      <c r="S72" s="693"/>
      <c r="T72" s="694"/>
    </row>
    <row r="73" spans="1:20" ht="18" customHeight="1">
      <c r="A73" s="678" t="s">
        <v>446</v>
      </c>
      <c r="B73" s="679"/>
      <c r="C73" s="679"/>
      <c r="D73" s="679"/>
      <c r="E73" s="679"/>
      <c r="F73" s="679"/>
      <c r="G73" s="679"/>
      <c r="H73" s="679"/>
      <c r="I73" s="679"/>
      <c r="J73" s="679"/>
      <c r="K73" s="679"/>
      <c r="L73" s="679"/>
      <c r="M73" s="679"/>
      <c r="N73" s="679"/>
      <c r="O73" s="679"/>
      <c r="P73" s="679"/>
      <c r="Q73" s="679"/>
      <c r="R73" s="679"/>
      <c r="S73" s="679"/>
      <c r="T73" s="680"/>
    </row>
    <row r="74" spans="1:20" ht="18" customHeight="1">
      <c r="A74" s="678" t="s">
        <v>325</v>
      </c>
      <c r="B74" s="679"/>
      <c r="C74" s="679"/>
      <c r="D74" s="679"/>
      <c r="E74" s="679"/>
      <c r="F74" s="679"/>
      <c r="G74" s="679"/>
      <c r="H74" s="679"/>
      <c r="I74" s="679"/>
      <c r="J74" s="679"/>
      <c r="K74" s="679"/>
      <c r="L74" s="679"/>
      <c r="M74" s="679"/>
      <c r="N74" s="679"/>
      <c r="O74" s="679"/>
      <c r="P74" s="679"/>
      <c r="Q74" s="679"/>
      <c r="R74" s="679"/>
      <c r="S74" s="679"/>
      <c r="T74" s="680"/>
    </row>
    <row r="75" spans="1:20" ht="18" customHeight="1">
      <c r="A75" s="681" t="s">
        <v>301</v>
      </c>
      <c r="B75" s="684" t="s">
        <v>302</v>
      </c>
      <c r="C75" s="687" t="s">
        <v>303</v>
      </c>
      <c r="D75" s="688"/>
      <c r="E75" s="688"/>
      <c r="F75" s="688"/>
      <c r="G75" s="688"/>
      <c r="H75" s="689"/>
      <c r="I75" s="687" t="s">
        <v>304</v>
      </c>
      <c r="J75" s="688"/>
      <c r="K75" s="688"/>
      <c r="L75" s="688"/>
      <c r="M75" s="688"/>
      <c r="N75" s="689"/>
      <c r="O75" s="687" t="s">
        <v>305</v>
      </c>
      <c r="P75" s="688"/>
      <c r="Q75" s="688"/>
      <c r="R75" s="688"/>
      <c r="S75" s="688"/>
      <c r="T75" s="689"/>
    </row>
    <row r="76" spans="1:20" ht="18" customHeight="1">
      <c r="A76" s="682"/>
      <c r="B76" s="685"/>
      <c r="C76" s="687" t="s">
        <v>306</v>
      </c>
      <c r="D76" s="689"/>
      <c r="E76" s="687" t="s">
        <v>307</v>
      </c>
      <c r="F76" s="689"/>
      <c r="G76" s="687" t="s">
        <v>8</v>
      </c>
      <c r="H76" s="689"/>
      <c r="I76" s="687" t="s">
        <v>306</v>
      </c>
      <c r="J76" s="689"/>
      <c r="K76" s="687" t="s">
        <v>307</v>
      </c>
      <c r="L76" s="689"/>
      <c r="M76" s="687" t="s">
        <v>8</v>
      </c>
      <c r="N76" s="689"/>
      <c r="O76" s="687" t="s">
        <v>306</v>
      </c>
      <c r="P76" s="689"/>
      <c r="Q76" s="687" t="s">
        <v>307</v>
      </c>
      <c r="R76" s="689"/>
      <c r="S76" s="687" t="s">
        <v>8</v>
      </c>
      <c r="T76" s="689"/>
    </row>
    <row r="77" spans="1:20" ht="18" customHeight="1">
      <c r="A77" s="683"/>
      <c r="B77" s="686"/>
      <c r="C77" s="30" t="s">
        <v>105</v>
      </c>
      <c r="D77" s="30" t="s">
        <v>41</v>
      </c>
      <c r="E77" s="30" t="s">
        <v>105</v>
      </c>
      <c r="F77" s="30" t="s">
        <v>41</v>
      </c>
      <c r="G77" s="30" t="s">
        <v>105</v>
      </c>
      <c r="H77" s="30" t="s">
        <v>41</v>
      </c>
      <c r="I77" s="30" t="s">
        <v>105</v>
      </c>
      <c r="J77" s="30" t="s">
        <v>41</v>
      </c>
      <c r="K77" s="30" t="s">
        <v>105</v>
      </c>
      <c r="L77" s="30" t="s">
        <v>41</v>
      </c>
      <c r="M77" s="30" t="s">
        <v>105</v>
      </c>
      <c r="N77" s="30" t="s">
        <v>41</v>
      </c>
      <c r="O77" s="30" t="s">
        <v>105</v>
      </c>
      <c r="P77" s="30" t="s">
        <v>41</v>
      </c>
      <c r="Q77" s="30" t="s">
        <v>105</v>
      </c>
      <c r="R77" s="30" t="s">
        <v>41</v>
      </c>
      <c r="S77" s="30" t="s">
        <v>105</v>
      </c>
      <c r="T77" s="30" t="s">
        <v>41</v>
      </c>
    </row>
    <row r="78" spans="1:20" ht="18" customHeight="1">
      <c r="A78" s="30">
        <v>1</v>
      </c>
      <c r="B78" s="31" t="s">
        <v>326</v>
      </c>
      <c r="C78" s="32">
        <v>0</v>
      </c>
      <c r="D78" s="32">
        <v>0</v>
      </c>
      <c r="E78" s="32">
        <v>0</v>
      </c>
      <c r="F78" s="32">
        <v>0</v>
      </c>
      <c r="G78" s="32">
        <v>0</v>
      </c>
      <c r="H78" s="32">
        <v>0</v>
      </c>
      <c r="I78" s="32">
        <v>141</v>
      </c>
      <c r="J78" s="32">
        <v>110.44</v>
      </c>
      <c r="K78" s="32">
        <v>0</v>
      </c>
      <c r="L78" s="32">
        <v>0</v>
      </c>
      <c r="M78" s="32">
        <v>141</v>
      </c>
      <c r="N78" s="32">
        <v>110.44</v>
      </c>
      <c r="O78" s="32">
        <v>0</v>
      </c>
      <c r="P78" s="32">
        <v>0</v>
      </c>
      <c r="Q78" s="32">
        <v>0</v>
      </c>
      <c r="R78" s="32">
        <v>0</v>
      </c>
      <c r="S78" s="32">
        <v>0</v>
      </c>
      <c r="T78" s="32">
        <v>0</v>
      </c>
    </row>
    <row r="79" spans="1:20" ht="18" customHeight="1">
      <c r="A79" s="30">
        <v>2</v>
      </c>
      <c r="B79" s="31" t="s">
        <v>327</v>
      </c>
      <c r="C79" s="32">
        <v>0</v>
      </c>
      <c r="D79" s="32">
        <v>0</v>
      </c>
      <c r="E79" s="32">
        <v>0</v>
      </c>
      <c r="F79" s="32">
        <v>0</v>
      </c>
      <c r="G79" s="32">
        <v>0</v>
      </c>
      <c r="H79" s="32">
        <v>0</v>
      </c>
      <c r="I79" s="32">
        <v>35</v>
      </c>
      <c r="J79" s="32">
        <v>20.190000000000001</v>
      </c>
      <c r="K79" s="32">
        <v>0</v>
      </c>
      <c r="L79" s="32">
        <v>0</v>
      </c>
      <c r="M79" s="32">
        <v>35</v>
      </c>
      <c r="N79" s="32">
        <v>20.190000000000001</v>
      </c>
      <c r="O79" s="32">
        <v>0</v>
      </c>
      <c r="P79" s="32">
        <v>0</v>
      </c>
      <c r="Q79" s="32">
        <v>0</v>
      </c>
      <c r="R79" s="32">
        <v>0</v>
      </c>
      <c r="S79" s="32">
        <v>0</v>
      </c>
      <c r="T79" s="32">
        <v>0</v>
      </c>
    </row>
    <row r="80" spans="1:20" ht="18" customHeight="1">
      <c r="A80" s="30">
        <v>3</v>
      </c>
      <c r="B80" s="31" t="s">
        <v>334</v>
      </c>
      <c r="C80" s="32">
        <v>0</v>
      </c>
      <c r="D80" s="32">
        <v>0</v>
      </c>
      <c r="E80" s="32">
        <v>0</v>
      </c>
      <c r="F80" s="32">
        <v>0</v>
      </c>
      <c r="G80" s="32">
        <v>0</v>
      </c>
      <c r="H80" s="32">
        <v>0</v>
      </c>
      <c r="I80" s="32">
        <v>1</v>
      </c>
      <c r="J80" s="32">
        <v>0.08</v>
      </c>
      <c r="K80" s="32">
        <v>0</v>
      </c>
      <c r="L80" s="32">
        <v>0</v>
      </c>
      <c r="M80" s="32">
        <v>1</v>
      </c>
      <c r="N80" s="32">
        <v>0.08</v>
      </c>
      <c r="O80" s="32">
        <v>0</v>
      </c>
      <c r="P80" s="32">
        <v>0</v>
      </c>
      <c r="Q80" s="32">
        <v>0</v>
      </c>
      <c r="R80" s="32">
        <v>0</v>
      </c>
      <c r="S80" s="32">
        <v>0</v>
      </c>
      <c r="T80" s="32">
        <v>0</v>
      </c>
    </row>
    <row r="81" spans="1:20" ht="18" customHeight="1">
      <c r="A81" s="30">
        <v>4</v>
      </c>
      <c r="B81" s="31" t="s">
        <v>319</v>
      </c>
      <c r="C81" s="32">
        <v>0</v>
      </c>
      <c r="D81" s="32">
        <v>0</v>
      </c>
      <c r="E81" s="32">
        <v>0</v>
      </c>
      <c r="F81" s="32">
        <v>0</v>
      </c>
      <c r="G81" s="32">
        <v>0</v>
      </c>
      <c r="H81" s="32">
        <v>0</v>
      </c>
      <c r="I81" s="32">
        <v>249</v>
      </c>
      <c r="J81" s="32">
        <v>167.58</v>
      </c>
      <c r="K81" s="32">
        <v>0</v>
      </c>
      <c r="L81" s="32">
        <v>0</v>
      </c>
      <c r="M81" s="32">
        <v>249</v>
      </c>
      <c r="N81" s="32">
        <v>167.58</v>
      </c>
      <c r="O81" s="32">
        <v>0</v>
      </c>
      <c r="P81" s="32">
        <v>0</v>
      </c>
      <c r="Q81" s="32">
        <v>0</v>
      </c>
      <c r="R81" s="32">
        <v>0</v>
      </c>
      <c r="S81" s="32">
        <v>0</v>
      </c>
      <c r="T81" s="32">
        <v>0</v>
      </c>
    </row>
    <row r="82" spans="1:20" ht="18" customHeight="1">
      <c r="A82" s="30">
        <v>5</v>
      </c>
      <c r="B82" s="31" t="s">
        <v>328</v>
      </c>
      <c r="C82" s="32">
        <v>0</v>
      </c>
      <c r="D82" s="32">
        <v>0</v>
      </c>
      <c r="E82" s="32">
        <v>0</v>
      </c>
      <c r="F82" s="32">
        <v>0</v>
      </c>
      <c r="G82" s="32">
        <v>0</v>
      </c>
      <c r="H82" s="32">
        <v>0</v>
      </c>
      <c r="I82" s="32">
        <v>20</v>
      </c>
      <c r="J82" s="32">
        <v>16.809999999999999</v>
      </c>
      <c r="K82" s="32">
        <v>0</v>
      </c>
      <c r="L82" s="32">
        <v>0</v>
      </c>
      <c r="M82" s="32">
        <v>20</v>
      </c>
      <c r="N82" s="32">
        <v>16.809999999999999</v>
      </c>
      <c r="O82" s="32">
        <v>0</v>
      </c>
      <c r="P82" s="32">
        <v>0</v>
      </c>
      <c r="Q82" s="32">
        <v>0</v>
      </c>
      <c r="R82" s="32">
        <v>0</v>
      </c>
      <c r="S82" s="32">
        <v>0</v>
      </c>
      <c r="T82" s="32">
        <v>0</v>
      </c>
    </row>
    <row r="83" spans="1:20" ht="18" customHeight="1">
      <c r="A83" s="30">
        <v>6</v>
      </c>
      <c r="B83" s="31" t="s">
        <v>329</v>
      </c>
      <c r="C83" s="32">
        <v>0</v>
      </c>
      <c r="D83" s="32">
        <v>0</v>
      </c>
      <c r="E83" s="32">
        <v>0</v>
      </c>
      <c r="F83" s="32">
        <v>0</v>
      </c>
      <c r="G83" s="32">
        <v>0</v>
      </c>
      <c r="H83" s="32">
        <v>0</v>
      </c>
      <c r="I83" s="32">
        <v>121</v>
      </c>
      <c r="J83" s="32">
        <v>89.14</v>
      </c>
      <c r="K83" s="32">
        <v>0</v>
      </c>
      <c r="L83" s="32">
        <v>0</v>
      </c>
      <c r="M83" s="32">
        <v>121</v>
      </c>
      <c r="N83" s="32">
        <v>89.14</v>
      </c>
      <c r="O83" s="32">
        <v>0</v>
      </c>
      <c r="P83" s="32">
        <v>0</v>
      </c>
      <c r="Q83" s="32">
        <v>0</v>
      </c>
      <c r="R83" s="32">
        <v>0</v>
      </c>
      <c r="S83" s="32">
        <v>0</v>
      </c>
      <c r="T83" s="32">
        <v>0</v>
      </c>
    </row>
    <row r="84" spans="1:20" ht="18" customHeight="1">
      <c r="A84" s="30">
        <v>7</v>
      </c>
      <c r="B84" s="31" t="s">
        <v>330</v>
      </c>
      <c r="C84" s="32">
        <v>0</v>
      </c>
      <c r="D84" s="32">
        <v>0</v>
      </c>
      <c r="E84" s="32">
        <v>0</v>
      </c>
      <c r="F84" s="32">
        <v>0</v>
      </c>
      <c r="G84" s="32">
        <v>0</v>
      </c>
      <c r="H84" s="32">
        <v>0</v>
      </c>
      <c r="I84" s="32">
        <v>25</v>
      </c>
      <c r="J84" s="32">
        <v>15.61</v>
      </c>
      <c r="K84" s="32">
        <v>0</v>
      </c>
      <c r="L84" s="32">
        <v>0</v>
      </c>
      <c r="M84" s="32">
        <v>25</v>
      </c>
      <c r="N84" s="32">
        <v>15.61</v>
      </c>
      <c r="O84" s="32">
        <v>0</v>
      </c>
      <c r="P84" s="32">
        <v>0</v>
      </c>
      <c r="Q84" s="32">
        <v>0</v>
      </c>
      <c r="R84" s="32">
        <v>0</v>
      </c>
      <c r="S84" s="32">
        <v>0</v>
      </c>
      <c r="T84" s="32">
        <v>0</v>
      </c>
    </row>
    <row r="85" spans="1:20" ht="18" customHeight="1">
      <c r="A85" s="30">
        <v>8</v>
      </c>
      <c r="B85" s="31" t="s">
        <v>331</v>
      </c>
      <c r="C85" s="32">
        <v>0</v>
      </c>
      <c r="D85" s="32">
        <v>0</v>
      </c>
      <c r="E85" s="32">
        <v>0</v>
      </c>
      <c r="F85" s="32">
        <v>0</v>
      </c>
      <c r="G85" s="32">
        <v>0</v>
      </c>
      <c r="H85" s="32">
        <v>0</v>
      </c>
      <c r="I85" s="32">
        <v>307</v>
      </c>
      <c r="J85" s="32">
        <v>208.69</v>
      </c>
      <c r="K85" s="32">
        <v>0</v>
      </c>
      <c r="L85" s="32">
        <v>0</v>
      </c>
      <c r="M85" s="32">
        <v>307</v>
      </c>
      <c r="N85" s="32">
        <v>208.69</v>
      </c>
      <c r="O85" s="32">
        <v>0</v>
      </c>
      <c r="P85" s="32">
        <v>0</v>
      </c>
      <c r="Q85" s="32">
        <v>0</v>
      </c>
      <c r="R85" s="32">
        <v>0</v>
      </c>
      <c r="S85" s="32">
        <v>0</v>
      </c>
      <c r="T85" s="32">
        <v>0</v>
      </c>
    </row>
    <row r="86" spans="1:20" ht="18" customHeight="1">
      <c r="A86" s="30">
        <v>9</v>
      </c>
      <c r="B86" s="31" t="s">
        <v>317</v>
      </c>
      <c r="C86" s="32">
        <v>0</v>
      </c>
      <c r="D86" s="32">
        <v>0</v>
      </c>
      <c r="E86" s="32">
        <v>0</v>
      </c>
      <c r="F86" s="32">
        <v>0</v>
      </c>
      <c r="G86" s="32">
        <v>0</v>
      </c>
      <c r="H86" s="32">
        <v>0</v>
      </c>
      <c r="I86" s="32">
        <v>122</v>
      </c>
      <c r="J86" s="32">
        <v>101.14</v>
      </c>
      <c r="K86" s="32">
        <v>0</v>
      </c>
      <c r="L86" s="32">
        <v>0</v>
      </c>
      <c r="M86" s="32">
        <v>122</v>
      </c>
      <c r="N86" s="32">
        <v>101.14</v>
      </c>
      <c r="O86" s="32">
        <v>0</v>
      </c>
      <c r="P86" s="32">
        <v>0</v>
      </c>
      <c r="Q86" s="32">
        <v>0</v>
      </c>
      <c r="R86" s="32">
        <v>0</v>
      </c>
      <c r="S86" s="32">
        <v>0</v>
      </c>
      <c r="T86" s="32">
        <v>0</v>
      </c>
    </row>
    <row r="87" spans="1:20" ht="18" customHeight="1">
      <c r="A87" s="676" t="s">
        <v>8</v>
      </c>
      <c r="B87" s="677"/>
      <c r="C87" s="32">
        <v>0</v>
      </c>
      <c r="D87" s="32">
        <v>0</v>
      </c>
      <c r="E87" s="32">
        <v>0</v>
      </c>
      <c r="F87" s="32">
        <v>0</v>
      </c>
      <c r="G87" s="32">
        <v>0</v>
      </c>
      <c r="H87" s="32">
        <v>0</v>
      </c>
      <c r="I87" s="32">
        <v>1021</v>
      </c>
      <c r="J87" s="32">
        <v>729.68</v>
      </c>
      <c r="K87" s="32">
        <v>0</v>
      </c>
      <c r="L87" s="32">
        <v>0</v>
      </c>
      <c r="M87" s="32">
        <v>1021</v>
      </c>
      <c r="N87" s="32">
        <v>729.68</v>
      </c>
      <c r="O87" s="32">
        <v>0</v>
      </c>
      <c r="P87" s="32">
        <v>0</v>
      </c>
      <c r="Q87" s="32">
        <v>0</v>
      </c>
      <c r="R87" s="32">
        <v>0</v>
      </c>
      <c r="S87" s="32">
        <v>0</v>
      </c>
      <c r="T87" s="32">
        <v>0</v>
      </c>
    </row>
    <row r="88" spans="1:20" ht="18" customHeight="1">
      <c r="A88" s="678" t="s">
        <v>446</v>
      </c>
      <c r="B88" s="679"/>
      <c r="C88" s="679"/>
      <c r="D88" s="679"/>
      <c r="E88" s="679"/>
      <c r="F88" s="679"/>
      <c r="G88" s="679"/>
      <c r="H88" s="679"/>
      <c r="I88" s="679"/>
      <c r="J88" s="679"/>
      <c r="K88" s="679"/>
      <c r="L88" s="679"/>
      <c r="M88" s="679"/>
      <c r="N88" s="679"/>
      <c r="O88" s="679"/>
      <c r="P88" s="679"/>
      <c r="Q88" s="679"/>
      <c r="R88" s="679"/>
      <c r="S88" s="679"/>
      <c r="T88" s="680"/>
    </row>
    <row r="89" spans="1:20" ht="18" customHeight="1">
      <c r="A89" s="678" t="s">
        <v>332</v>
      </c>
      <c r="B89" s="679"/>
      <c r="C89" s="679"/>
      <c r="D89" s="679"/>
      <c r="E89" s="679"/>
      <c r="F89" s="679"/>
      <c r="G89" s="679"/>
      <c r="H89" s="679"/>
      <c r="I89" s="679"/>
      <c r="J89" s="679"/>
      <c r="K89" s="679"/>
      <c r="L89" s="679"/>
      <c r="M89" s="679"/>
      <c r="N89" s="679"/>
      <c r="O89" s="679"/>
      <c r="P89" s="679"/>
      <c r="Q89" s="679"/>
      <c r="R89" s="679"/>
      <c r="S89" s="679"/>
      <c r="T89" s="680"/>
    </row>
    <row r="90" spans="1:20" ht="18" customHeight="1">
      <c r="A90" s="681" t="s">
        <v>301</v>
      </c>
      <c r="B90" s="684" t="s">
        <v>302</v>
      </c>
      <c r="C90" s="687" t="s">
        <v>303</v>
      </c>
      <c r="D90" s="688"/>
      <c r="E90" s="688"/>
      <c r="F90" s="688"/>
      <c r="G90" s="688"/>
      <c r="H90" s="689"/>
      <c r="I90" s="687" t="s">
        <v>304</v>
      </c>
      <c r="J90" s="688"/>
      <c r="K90" s="688"/>
      <c r="L90" s="688"/>
      <c r="M90" s="688"/>
      <c r="N90" s="689"/>
      <c r="O90" s="687" t="s">
        <v>305</v>
      </c>
      <c r="P90" s="688"/>
      <c r="Q90" s="688"/>
      <c r="R90" s="688"/>
      <c r="S90" s="688"/>
      <c r="T90" s="689"/>
    </row>
    <row r="91" spans="1:20" ht="18" customHeight="1">
      <c r="A91" s="682"/>
      <c r="B91" s="685"/>
      <c r="C91" s="687" t="s">
        <v>306</v>
      </c>
      <c r="D91" s="689"/>
      <c r="E91" s="687" t="s">
        <v>307</v>
      </c>
      <c r="F91" s="689"/>
      <c r="G91" s="687" t="s">
        <v>8</v>
      </c>
      <c r="H91" s="689"/>
      <c r="I91" s="687" t="s">
        <v>306</v>
      </c>
      <c r="J91" s="689"/>
      <c r="K91" s="687" t="s">
        <v>307</v>
      </c>
      <c r="L91" s="689"/>
      <c r="M91" s="687" t="s">
        <v>8</v>
      </c>
      <c r="N91" s="689"/>
      <c r="O91" s="687" t="s">
        <v>306</v>
      </c>
      <c r="P91" s="689"/>
      <c r="Q91" s="687" t="s">
        <v>307</v>
      </c>
      <c r="R91" s="689"/>
      <c r="S91" s="687" t="s">
        <v>8</v>
      </c>
      <c r="T91" s="689"/>
    </row>
    <row r="92" spans="1:20" ht="18" customHeight="1">
      <c r="A92" s="683"/>
      <c r="B92" s="686"/>
      <c r="C92" s="30" t="s">
        <v>105</v>
      </c>
      <c r="D92" s="30" t="s">
        <v>41</v>
      </c>
      <c r="E92" s="30" t="s">
        <v>105</v>
      </c>
      <c r="F92" s="30" t="s">
        <v>41</v>
      </c>
      <c r="G92" s="30" t="s">
        <v>105</v>
      </c>
      <c r="H92" s="30" t="s">
        <v>41</v>
      </c>
      <c r="I92" s="30" t="s">
        <v>105</v>
      </c>
      <c r="J92" s="30" t="s">
        <v>41</v>
      </c>
      <c r="K92" s="30" t="s">
        <v>105</v>
      </c>
      <c r="L92" s="30" t="s">
        <v>41</v>
      </c>
      <c r="M92" s="30" t="s">
        <v>105</v>
      </c>
      <c r="N92" s="30" t="s">
        <v>41</v>
      </c>
      <c r="O92" s="30" t="s">
        <v>105</v>
      </c>
      <c r="P92" s="30" t="s">
        <v>41</v>
      </c>
      <c r="Q92" s="30" t="s">
        <v>105</v>
      </c>
      <c r="R92" s="30" t="s">
        <v>41</v>
      </c>
      <c r="S92" s="30" t="s">
        <v>105</v>
      </c>
      <c r="T92" s="30" t="s">
        <v>41</v>
      </c>
    </row>
    <row r="93" spans="1:20" ht="18" customHeight="1">
      <c r="A93" s="30">
        <v>1</v>
      </c>
      <c r="B93" s="31" t="s">
        <v>333</v>
      </c>
      <c r="C93" s="32">
        <v>0</v>
      </c>
      <c r="D93" s="32">
        <v>0</v>
      </c>
      <c r="E93" s="32">
        <v>0</v>
      </c>
      <c r="F93" s="32">
        <v>0</v>
      </c>
      <c r="G93" s="32">
        <v>0</v>
      </c>
      <c r="H93" s="32">
        <v>0</v>
      </c>
      <c r="I93" s="32">
        <v>0</v>
      </c>
      <c r="J93" s="32">
        <v>0</v>
      </c>
      <c r="K93" s="32">
        <v>0</v>
      </c>
      <c r="L93" s="32">
        <v>0</v>
      </c>
      <c r="M93" s="32">
        <v>0</v>
      </c>
      <c r="N93" s="32">
        <v>0</v>
      </c>
      <c r="O93" s="32">
        <v>8</v>
      </c>
      <c r="P93" s="32">
        <v>3.34</v>
      </c>
      <c r="Q93" s="32">
        <v>0</v>
      </c>
      <c r="R93" s="32">
        <v>0</v>
      </c>
      <c r="S93" s="32">
        <v>8</v>
      </c>
      <c r="T93" s="32">
        <v>3.34</v>
      </c>
    </row>
    <row r="94" spans="1:20" ht="18" customHeight="1">
      <c r="A94" s="30">
        <v>2</v>
      </c>
      <c r="B94" s="31" t="s">
        <v>334</v>
      </c>
      <c r="C94" s="32">
        <v>0</v>
      </c>
      <c r="D94" s="32">
        <v>0</v>
      </c>
      <c r="E94" s="32">
        <v>0</v>
      </c>
      <c r="F94" s="32">
        <v>0</v>
      </c>
      <c r="G94" s="32">
        <v>0</v>
      </c>
      <c r="H94" s="32">
        <v>0</v>
      </c>
      <c r="I94" s="32">
        <v>7</v>
      </c>
      <c r="J94" s="32">
        <v>0.57999999999999996</v>
      </c>
      <c r="K94" s="32">
        <v>0</v>
      </c>
      <c r="L94" s="32">
        <v>0</v>
      </c>
      <c r="M94" s="32">
        <v>7</v>
      </c>
      <c r="N94" s="32">
        <v>0.57999999999999996</v>
      </c>
      <c r="O94" s="32">
        <v>0</v>
      </c>
      <c r="P94" s="32">
        <v>0</v>
      </c>
      <c r="Q94" s="32">
        <v>0</v>
      </c>
      <c r="R94" s="32">
        <v>0</v>
      </c>
      <c r="S94" s="32">
        <v>0</v>
      </c>
      <c r="T94" s="32">
        <v>0</v>
      </c>
    </row>
    <row r="95" spans="1:20" ht="18" customHeight="1">
      <c r="A95" s="30">
        <v>3</v>
      </c>
      <c r="B95" s="31" t="s">
        <v>335</v>
      </c>
      <c r="C95" s="32">
        <v>0</v>
      </c>
      <c r="D95" s="32">
        <v>0</v>
      </c>
      <c r="E95" s="32">
        <v>0</v>
      </c>
      <c r="F95" s="32">
        <v>0</v>
      </c>
      <c r="G95" s="32">
        <v>0</v>
      </c>
      <c r="H95" s="32">
        <v>0</v>
      </c>
      <c r="I95" s="32">
        <v>182</v>
      </c>
      <c r="J95" s="32">
        <v>118.92</v>
      </c>
      <c r="K95" s="32">
        <v>0</v>
      </c>
      <c r="L95" s="32">
        <v>0</v>
      </c>
      <c r="M95" s="32">
        <v>182</v>
      </c>
      <c r="N95" s="32">
        <v>118.92</v>
      </c>
      <c r="O95" s="32">
        <v>0</v>
      </c>
      <c r="P95" s="32">
        <v>0</v>
      </c>
      <c r="Q95" s="32">
        <v>0</v>
      </c>
      <c r="R95" s="32">
        <v>0</v>
      </c>
      <c r="S95" s="32">
        <v>0</v>
      </c>
      <c r="T95" s="32">
        <v>0</v>
      </c>
    </row>
    <row r="96" spans="1:20" ht="18" customHeight="1">
      <c r="A96" s="30">
        <v>4</v>
      </c>
      <c r="B96" s="31" t="s">
        <v>336</v>
      </c>
      <c r="C96" s="32">
        <v>0</v>
      </c>
      <c r="D96" s="32">
        <v>0</v>
      </c>
      <c r="E96" s="32">
        <v>0</v>
      </c>
      <c r="F96" s="32">
        <v>0</v>
      </c>
      <c r="G96" s="32">
        <v>0</v>
      </c>
      <c r="H96" s="32">
        <v>0</v>
      </c>
      <c r="I96" s="32">
        <v>86</v>
      </c>
      <c r="J96" s="32">
        <v>39.03</v>
      </c>
      <c r="K96" s="32">
        <v>0</v>
      </c>
      <c r="L96" s="32">
        <v>0</v>
      </c>
      <c r="M96" s="32">
        <v>86</v>
      </c>
      <c r="N96" s="32">
        <v>39.03</v>
      </c>
      <c r="O96" s="32">
        <v>0</v>
      </c>
      <c r="P96" s="32">
        <v>0</v>
      </c>
      <c r="Q96" s="32">
        <v>0</v>
      </c>
      <c r="R96" s="32">
        <v>0</v>
      </c>
      <c r="S96" s="32">
        <v>0</v>
      </c>
      <c r="T96" s="32">
        <v>0</v>
      </c>
    </row>
    <row r="97" spans="1:20" ht="18" customHeight="1">
      <c r="A97" s="30">
        <v>5</v>
      </c>
      <c r="B97" s="31" t="s">
        <v>337</v>
      </c>
      <c r="C97" s="32">
        <v>0</v>
      </c>
      <c r="D97" s="32">
        <v>0</v>
      </c>
      <c r="E97" s="32">
        <v>0</v>
      </c>
      <c r="F97" s="32">
        <v>0</v>
      </c>
      <c r="G97" s="32">
        <v>0</v>
      </c>
      <c r="H97" s="32">
        <v>0</v>
      </c>
      <c r="I97" s="32">
        <v>240</v>
      </c>
      <c r="J97" s="32">
        <v>170.28</v>
      </c>
      <c r="K97" s="32">
        <v>0</v>
      </c>
      <c r="L97" s="32">
        <v>0</v>
      </c>
      <c r="M97" s="32">
        <v>240</v>
      </c>
      <c r="N97" s="32">
        <v>170.28</v>
      </c>
      <c r="O97" s="32">
        <v>0</v>
      </c>
      <c r="P97" s="32">
        <v>0</v>
      </c>
      <c r="Q97" s="32">
        <v>0</v>
      </c>
      <c r="R97" s="32">
        <v>0</v>
      </c>
      <c r="S97" s="32">
        <v>0</v>
      </c>
      <c r="T97" s="32">
        <v>0</v>
      </c>
    </row>
    <row r="98" spans="1:20" ht="18" customHeight="1">
      <c r="A98" s="30">
        <v>6</v>
      </c>
      <c r="B98" s="31" t="s">
        <v>338</v>
      </c>
      <c r="C98" s="32">
        <v>0</v>
      </c>
      <c r="D98" s="32">
        <v>0</v>
      </c>
      <c r="E98" s="32">
        <v>0</v>
      </c>
      <c r="F98" s="32">
        <v>0</v>
      </c>
      <c r="G98" s="32">
        <v>0</v>
      </c>
      <c r="H98" s="32">
        <v>0</v>
      </c>
      <c r="I98" s="32">
        <v>231</v>
      </c>
      <c r="J98" s="32">
        <v>165.42</v>
      </c>
      <c r="K98" s="32">
        <v>0</v>
      </c>
      <c r="L98" s="32">
        <v>0</v>
      </c>
      <c r="M98" s="32">
        <v>231</v>
      </c>
      <c r="N98" s="32">
        <v>165.42</v>
      </c>
      <c r="O98" s="32">
        <v>2</v>
      </c>
      <c r="P98" s="32">
        <v>1.28</v>
      </c>
      <c r="Q98" s="32">
        <v>0</v>
      </c>
      <c r="R98" s="32">
        <v>0</v>
      </c>
      <c r="S98" s="32">
        <v>2</v>
      </c>
      <c r="T98" s="32">
        <v>1.28</v>
      </c>
    </row>
    <row r="99" spans="1:20" ht="18" customHeight="1">
      <c r="A99" s="30">
        <v>7</v>
      </c>
      <c r="B99" s="31" t="s">
        <v>339</v>
      </c>
      <c r="C99" s="32">
        <v>0</v>
      </c>
      <c r="D99" s="32">
        <v>0</v>
      </c>
      <c r="E99" s="32">
        <v>0</v>
      </c>
      <c r="F99" s="32">
        <v>0</v>
      </c>
      <c r="G99" s="32">
        <v>0</v>
      </c>
      <c r="H99" s="32">
        <v>0</v>
      </c>
      <c r="I99" s="32">
        <v>138</v>
      </c>
      <c r="J99" s="32">
        <v>94.61</v>
      </c>
      <c r="K99" s="32">
        <v>0</v>
      </c>
      <c r="L99" s="32">
        <v>0</v>
      </c>
      <c r="M99" s="32">
        <v>138</v>
      </c>
      <c r="N99" s="32">
        <v>94.61</v>
      </c>
      <c r="O99" s="32">
        <v>0</v>
      </c>
      <c r="P99" s="32">
        <v>0</v>
      </c>
      <c r="Q99" s="32">
        <v>0</v>
      </c>
      <c r="R99" s="32">
        <v>0</v>
      </c>
      <c r="S99" s="32">
        <v>0</v>
      </c>
      <c r="T99" s="32">
        <v>0</v>
      </c>
    </row>
    <row r="100" spans="1:20" ht="18" customHeight="1">
      <c r="A100" s="30">
        <v>8</v>
      </c>
      <c r="B100" s="31" t="s">
        <v>340</v>
      </c>
      <c r="C100" s="32">
        <v>0</v>
      </c>
      <c r="D100" s="32">
        <v>0</v>
      </c>
      <c r="E100" s="32">
        <v>0</v>
      </c>
      <c r="F100" s="32">
        <v>0</v>
      </c>
      <c r="G100" s="32">
        <v>0</v>
      </c>
      <c r="H100" s="32">
        <v>0</v>
      </c>
      <c r="I100" s="32">
        <v>0</v>
      </c>
      <c r="J100" s="32">
        <v>0</v>
      </c>
      <c r="K100" s="32">
        <v>0</v>
      </c>
      <c r="L100" s="32">
        <v>0</v>
      </c>
      <c r="M100" s="32">
        <v>0</v>
      </c>
      <c r="N100" s="32">
        <v>0</v>
      </c>
      <c r="O100" s="32">
        <v>1</v>
      </c>
      <c r="P100" s="32">
        <v>0.66</v>
      </c>
      <c r="Q100" s="32">
        <v>0</v>
      </c>
      <c r="R100" s="32">
        <v>0</v>
      </c>
      <c r="S100" s="32">
        <v>1</v>
      </c>
      <c r="T100" s="32">
        <v>0.66</v>
      </c>
    </row>
    <row r="101" spans="1:20" ht="18" customHeight="1">
      <c r="A101" s="30">
        <v>9</v>
      </c>
      <c r="B101" s="31" t="s">
        <v>341</v>
      </c>
      <c r="C101" s="32">
        <v>0</v>
      </c>
      <c r="D101" s="32">
        <v>0</v>
      </c>
      <c r="E101" s="32">
        <v>0</v>
      </c>
      <c r="F101" s="32">
        <v>0</v>
      </c>
      <c r="G101" s="32">
        <v>0</v>
      </c>
      <c r="H101" s="32">
        <v>0</v>
      </c>
      <c r="I101" s="32">
        <v>24</v>
      </c>
      <c r="J101" s="32">
        <v>13.97</v>
      </c>
      <c r="K101" s="32">
        <v>0</v>
      </c>
      <c r="L101" s="32">
        <v>0</v>
      </c>
      <c r="M101" s="32">
        <v>24</v>
      </c>
      <c r="N101" s="32">
        <v>13.97</v>
      </c>
      <c r="O101" s="32">
        <v>0</v>
      </c>
      <c r="P101" s="32">
        <v>0</v>
      </c>
      <c r="Q101" s="32">
        <v>0</v>
      </c>
      <c r="R101" s="32">
        <v>0</v>
      </c>
      <c r="S101" s="32">
        <v>0</v>
      </c>
      <c r="T101" s="32">
        <v>0</v>
      </c>
    </row>
    <row r="102" spans="1:20" ht="18" customHeight="1">
      <c r="A102" s="30">
        <v>10</v>
      </c>
      <c r="B102" s="31" t="s">
        <v>321</v>
      </c>
      <c r="C102" s="32">
        <v>0</v>
      </c>
      <c r="D102" s="32">
        <v>0</v>
      </c>
      <c r="E102" s="32">
        <v>0</v>
      </c>
      <c r="F102" s="32">
        <v>0</v>
      </c>
      <c r="G102" s="32">
        <v>0</v>
      </c>
      <c r="H102" s="32">
        <v>0</v>
      </c>
      <c r="I102" s="32">
        <v>31</v>
      </c>
      <c r="J102" s="32">
        <v>0.86</v>
      </c>
      <c r="K102" s="32">
        <v>0</v>
      </c>
      <c r="L102" s="32">
        <v>0</v>
      </c>
      <c r="M102" s="32">
        <v>31</v>
      </c>
      <c r="N102" s="32">
        <v>0.86</v>
      </c>
      <c r="O102" s="32">
        <v>0</v>
      </c>
      <c r="P102" s="32">
        <v>0</v>
      </c>
      <c r="Q102" s="32">
        <v>0</v>
      </c>
      <c r="R102" s="32">
        <v>0</v>
      </c>
      <c r="S102" s="32">
        <v>0</v>
      </c>
      <c r="T102" s="32">
        <v>0</v>
      </c>
    </row>
    <row r="103" spans="1:20" ht="18" customHeight="1">
      <c r="A103" s="676" t="s">
        <v>8</v>
      </c>
      <c r="B103" s="677"/>
      <c r="C103" s="32">
        <v>0</v>
      </c>
      <c r="D103" s="32">
        <v>0</v>
      </c>
      <c r="E103" s="32">
        <v>0</v>
      </c>
      <c r="F103" s="32">
        <v>0</v>
      </c>
      <c r="G103" s="32">
        <v>0</v>
      </c>
      <c r="H103" s="32">
        <v>0</v>
      </c>
      <c r="I103" s="32">
        <v>939</v>
      </c>
      <c r="J103" s="32">
        <v>603.66999999999996</v>
      </c>
      <c r="K103" s="32">
        <v>0</v>
      </c>
      <c r="L103" s="32">
        <v>0</v>
      </c>
      <c r="M103" s="32">
        <v>939</v>
      </c>
      <c r="N103" s="32">
        <v>603.66999999999996</v>
      </c>
      <c r="O103" s="32">
        <v>11</v>
      </c>
      <c r="P103" s="32">
        <v>5.28</v>
      </c>
      <c r="Q103" s="32">
        <v>0</v>
      </c>
      <c r="R103" s="32">
        <v>0</v>
      </c>
      <c r="S103" s="32">
        <v>11</v>
      </c>
      <c r="T103" s="32">
        <v>5.28</v>
      </c>
    </row>
    <row r="104" spans="1:20" ht="18" customHeight="1">
      <c r="A104" s="678" t="s">
        <v>446</v>
      </c>
      <c r="B104" s="679"/>
      <c r="C104" s="679"/>
      <c r="D104" s="679"/>
      <c r="E104" s="679"/>
      <c r="F104" s="679"/>
      <c r="G104" s="679"/>
      <c r="H104" s="679"/>
      <c r="I104" s="679"/>
      <c r="J104" s="679"/>
      <c r="K104" s="679"/>
      <c r="L104" s="679"/>
      <c r="M104" s="679"/>
      <c r="N104" s="679"/>
      <c r="O104" s="679"/>
      <c r="P104" s="679"/>
      <c r="Q104" s="679"/>
      <c r="R104" s="679"/>
      <c r="S104" s="679"/>
      <c r="T104" s="680"/>
    </row>
    <row r="105" spans="1:20" ht="18" customHeight="1">
      <c r="A105" s="678" t="s">
        <v>342</v>
      </c>
      <c r="B105" s="679"/>
      <c r="C105" s="679"/>
      <c r="D105" s="679"/>
      <c r="E105" s="679"/>
      <c r="F105" s="679"/>
      <c r="G105" s="679"/>
      <c r="H105" s="679"/>
      <c r="I105" s="679"/>
      <c r="J105" s="679"/>
      <c r="K105" s="679"/>
      <c r="L105" s="679"/>
      <c r="M105" s="679"/>
      <c r="N105" s="679"/>
      <c r="O105" s="679"/>
      <c r="P105" s="679"/>
      <c r="Q105" s="679"/>
      <c r="R105" s="679"/>
      <c r="S105" s="679"/>
      <c r="T105" s="680"/>
    </row>
    <row r="106" spans="1:20" ht="18" customHeight="1">
      <c r="A106" s="681" t="s">
        <v>301</v>
      </c>
      <c r="B106" s="684" t="s">
        <v>302</v>
      </c>
      <c r="C106" s="687" t="s">
        <v>303</v>
      </c>
      <c r="D106" s="688"/>
      <c r="E106" s="688"/>
      <c r="F106" s="688"/>
      <c r="G106" s="688"/>
      <c r="H106" s="689"/>
      <c r="I106" s="687" t="s">
        <v>304</v>
      </c>
      <c r="J106" s="688"/>
      <c r="K106" s="688"/>
      <c r="L106" s="688"/>
      <c r="M106" s="688"/>
      <c r="N106" s="689"/>
      <c r="O106" s="687" t="s">
        <v>305</v>
      </c>
      <c r="P106" s="688"/>
      <c r="Q106" s="688"/>
      <c r="R106" s="688"/>
      <c r="S106" s="688"/>
      <c r="T106" s="689"/>
    </row>
    <row r="107" spans="1:20" ht="18" customHeight="1">
      <c r="A107" s="682"/>
      <c r="B107" s="685"/>
      <c r="C107" s="687" t="s">
        <v>306</v>
      </c>
      <c r="D107" s="689"/>
      <c r="E107" s="687" t="s">
        <v>307</v>
      </c>
      <c r="F107" s="689"/>
      <c r="G107" s="687" t="s">
        <v>8</v>
      </c>
      <c r="H107" s="689"/>
      <c r="I107" s="687" t="s">
        <v>306</v>
      </c>
      <c r="J107" s="689"/>
      <c r="K107" s="687" t="s">
        <v>307</v>
      </c>
      <c r="L107" s="689"/>
      <c r="M107" s="687" t="s">
        <v>8</v>
      </c>
      <c r="N107" s="689"/>
      <c r="O107" s="687" t="s">
        <v>306</v>
      </c>
      <c r="P107" s="689"/>
      <c r="Q107" s="687" t="s">
        <v>307</v>
      </c>
      <c r="R107" s="689"/>
      <c r="S107" s="687" t="s">
        <v>8</v>
      </c>
      <c r="T107" s="689"/>
    </row>
    <row r="108" spans="1:20" ht="18" customHeight="1">
      <c r="A108" s="683"/>
      <c r="B108" s="686"/>
      <c r="C108" s="30" t="s">
        <v>105</v>
      </c>
      <c r="D108" s="30" t="s">
        <v>41</v>
      </c>
      <c r="E108" s="30" t="s">
        <v>105</v>
      </c>
      <c r="F108" s="30" t="s">
        <v>41</v>
      </c>
      <c r="G108" s="30" t="s">
        <v>105</v>
      </c>
      <c r="H108" s="30" t="s">
        <v>41</v>
      </c>
      <c r="I108" s="30" t="s">
        <v>105</v>
      </c>
      <c r="J108" s="30" t="s">
        <v>41</v>
      </c>
      <c r="K108" s="30" t="s">
        <v>105</v>
      </c>
      <c r="L108" s="30" t="s">
        <v>41</v>
      </c>
      <c r="M108" s="30" t="s">
        <v>105</v>
      </c>
      <c r="N108" s="30" t="s">
        <v>41</v>
      </c>
      <c r="O108" s="30" t="s">
        <v>105</v>
      </c>
      <c r="P108" s="30" t="s">
        <v>41</v>
      </c>
      <c r="Q108" s="30" t="s">
        <v>105</v>
      </c>
      <c r="R108" s="30" t="s">
        <v>41</v>
      </c>
      <c r="S108" s="30" t="s">
        <v>105</v>
      </c>
      <c r="T108" s="30" t="s">
        <v>41</v>
      </c>
    </row>
    <row r="109" spans="1:20" ht="18" customHeight="1">
      <c r="A109" s="30">
        <v>1</v>
      </c>
      <c r="B109" s="31" t="s">
        <v>405</v>
      </c>
      <c r="C109" s="32">
        <v>0</v>
      </c>
      <c r="D109" s="32">
        <v>0</v>
      </c>
      <c r="E109" s="32">
        <v>0</v>
      </c>
      <c r="F109" s="32">
        <v>0</v>
      </c>
      <c r="G109" s="32">
        <v>0</v>
      </c>
      <c r="H109" s="32">
        <v>0</v>
      </c>
      <c r="I109" s="32">
        <v>582</v>
      </c>
      <c r="J109" s="32">
        <v>428.61</v>
      </c>
      <c r="K109" s="32">
        <v>66</v>
      </c>
      <c r="L109" s="32">
        <v>50.86</v>
      </c>
      <c r="M109" s="32">
        <v>648</v>
      </c>
      <c r="N109" s="32">
        <v>479.47</v>
      </c>
      <c r="O109" s="32">
        <v>0</v>
      </c>
      <c r="P109" s="32">
        <v>0</v>
      </c>
      <c r="Q109" s="32">
        <v>0</v>
      </c>
      <c r="R109" s="32">
        <v>0</v>
      </c>
      <c r="S109" s="32">
        <v>0</v>
      </c>
      <c r="T109" s="32">
        <v>0</v>
      </c>
    </row>
    <row r="110" spans="1:20" ht="18" customHeight="1">
      <c r="A110" s="30">
        <v>2</v>
      </c>
      <c r="B110" s="31" t="s">
        <v>406</v>
      </c>
      <c r="C110" s="32">
        <v>0</v>
      </c>
      <c r="D110" s="32">
        <v>0</v>
      </c>
      <c r="E110" s="32">
        <v>0</v>
      </c>
      <c r="F110" s="32">
        <v>0</v>
      </c>
      <c r="G110" s="32">
        <v>0</v>
      </c>
      <c r="H110" s="32">
        <v>0</v>
      </c>
      <c r="I110" s="32">
        <v>176</v>
      </c>
      <c r="J110" s="32">
        <v>143.94</v>
      </c>
      <c r="K110" s="32">
        <v>0</v>
      </c>
      <c r="L110" s="32">
        <v>0</v>
      </c>
      <c r="M110" s="32">
        <v>176</v>
      </c>
      <c r="N110" s="32">
        <v>143.94</v>
      </c>
      <c r="O110" s="32">
        <v>0</v>
      </c>
      <c r="P110" s="32">
        <v>0</v>
      </c>
      <c r="Q110" s="32">
        <v>0</v>
      </c>
      <c r="R110" s="32">
        <v>0</v>
      </c>
      <c r="S110" s="32">
        <v>0</v>
      </c>
      <c r="T110" s="32">
        <v>0</v>
      </c>
    </row>
    <row r="111" spans="1:20" ht="18" customHeight="1">
      <c r="A111" s="30">
        <v>3</v>
      </c>
      <c r="B111" s="31" t="s">
        <v>309</v>
      </c>
      <c r="C111" s="32">
        <v>0</v>
      </c>
      <c r="D111" s="32">
        <v>0</v>
      </c>
      <c r="E111" s="32">
        <v>0</v>
      </c>
      <c r="F111" s="32">
        <v>0</v>
      </c>
      <c r="G111" s="32">
        <v>0</v>
      </c>
      <c r="H111" s="32">
        <v>0</v>
      </c>
      <c r="I111" s="32">
        <v>306</v>
      </c>
      <c r="J111" s="32">
        <v>210.78</v>
      </c>
      <c r="K111" s="32">
        <v>0</v>
      </c>
      <c r="L111" s="32">
        <v>0</v>
      </c>
      <c r="M111" s="32">
        <v>306</v>
      </c>
      <c r="N111" s="32">
        <v>210.78</v>
      </c>
      <c r="O111" s="32">
        <v>0</v>
      </c>
      <c r="P111" s="32">
        <v>0</v>
      </c>
      <c r="Q111" s="32">
        <v>0</v>
      </c>
      <c r="R111" s="32">
        <v>0</v>
      </c>
      <c r="S111" s="32">
        <v>0</v>
      </c>
      <c r="T111" s="32">
        <v>0</v>
      </c>
    </row>
    <row r="112" spans="1:20" ht="18" customHeight="1">
      <c r="A112" s="30">
        <v>4</v>
      </c>
      <c r="B112" s="31" t="s">
        <v>310</v>
      </c>
      <c r="C112" s="32">
        <v>0</v>
      </c>
      <c r="D112" s="32">
        <v>0</v>
      </c>
      <c r="E112" s="32">
        <v>0</v>
      </c>
      <c r="F112" s="32">
        <v>0</v>
      </c>
      <c r="G112" s="32">
        <v>0</v>
      </c>
      <c r="H112" s="32">
        <v>0</v>
      </c>
      <c r="I112" s="32">
        <v>767</v>
      </c>
      <c r="J112" s="32">
        <v>599.75</v>
      </c>
      <c r="K112" s="32">
        <v>170</v>
      </c>
      <c r="L112" s="32">
        <v>138.97</v>
      </c>
      <c r="M112" s="32">
        <v>937</v>
      </c>
      <c r="N112" s="32">
        <v>738.72</v>
      </c>
      <c r="O112" s="32">
        <v>0</v>
      </c>
      <c r="P112" s="32">
        <v>0</v>
      </c>
      <c r="Q112" s="32">
        <v>0</v>
      </c>
      <c r="R112" s="32">
        <v>0</v>
      </c>
      <c r="S112" s="32">
        <v>0</v>
      </c>
      <c r="T112" s="32">
        <v>0</v>
      </c>
    </row>
    <row r="113" spans="1:20" ht="18" customHeight="1">
      <c r="A113" s="30">
        <v>5</v>
      </c>
      <c r="B113" s="31" t="s">
        <v>311</v>
      </c>
      <c r="C113" s="32">
        <v>0</v>
      </c>
      <c r="D113" s="32">
        <v>0</v>
      </c>
      <c r="E113" s="32">
        <v>0</v>
      </c>
      <c r="F113" s="32">
        <v>0</v>
      </c>
      <c r="G113" s="32">
        <v>0</v>
      </c>
      <c r="H113" s="32">
        <v>0</v>
      </c>
      <c r="I113" s="32">
        <v>127</v>
      </c>
      <c r="J113" s="32">
        <v>88.22</v>
      </c>
      <c r="K113" s="32">
        <v>0</v>
      </c>
      <c r="L113" s="32">
        <v>0</v>
      </c>
      <c r="M113" s="32">
        <v>127</v>
      </c>
      <c r="N113" s="32">
        <v>88.22</v>
      </c>
      <c r="O113" s="32">
        <v>0</v>
      </c>
      <c r="P113" s="32">
        <v>0</v>
      </c>
      <c r="Q113" s="32">
        <v>0</v>
      </c>
      <c r="R113" s="32">
        <v>0</v>
      </c>
      <c r="S113" s="32">
        <v>0</v>
      </c>
      <c r="T113" s="32">
        <v>0</v>
      </c>
    </row>
    <row r="114" spans="1:20" ht="18" customHeight="1">
      <c r="A114" s="30">
        <v>6</v>
      </c>
      <c r="B114" s="31" t="s">
        <v>407</v>
      </c>
      <c r="C114" s="32">
        <v>0</v>
      </c>
      <c r="D114" s="32">
        <v>0</v>
      </c>
      <c r="E114" s="32">
        <v>0</v>
      </c>
      <c r="F114" s="32">
        <v>0</v>
      </c>
      <c r="G114" s="32">
        <v>0</v>
      </c>
      <c r="H114" s="32">
        <v>0</v>
      </c>
      <c r="I114" s="32">
        <v>29</v>
      </c>
      <c r="J114" s="32">
        <v>17.579999999999998</v>
      </c>
      <c r="K114" s="32">
        <v>0</v>
      </c>
      <c r="L114" s="32">
        <v>0</v>
      </c>
      <c r="M114" s="32">
        <v>29</v>
      </c>
      <c r="N114" s="32">
        <v>17.579999999999998</v>
      </c>
      <c r="O114" s="32">
        <v>0</v>
      </c>
      <c r="P114" s="32">
        <v>0</v>
      </c>
      <c r="Q114" s="32">
        <v>0</v>
      </c>
      <c r="R114" s="32">
        <v>0</v>
      </c>
      <c r="S114" s="32">
        <v>0</v>
      </c>
      <c r="T114" s="32">
        <v>0</v>
      </c>
    </row>
    <row r="115" spans="1:20" ht="18" customHeight="1">
      <c r="A115" s="30">
        <v>7</v>
      </c>
      <c r="B115" s="31" t="s">
        <v>312</v>
      </c>
      <c r="C115" s="32">
        <v>0</v>
      </c>
      <c r="D115" s="32">
        <v>0</v>
      </c>
      <c r="E115" s="32">
        <v>0</v>
      </c>
      <c r="F115" s="32">
        <v>0</v>
      </c>
      <c r="G115" s="32">
        <v>0</v>
      </c>
      <c r="H115" s="32">
        <v>0</v>
      </c>
      <c r="I115" s="32">
        <v>379</v>
      </c>
      <c r="J115" s="32">
        <v>240.61</v>
      </c>
      <c r="K115" s="32">
        <v>14</v>
      </c>
      <c r="L115" s="32">
        <v>6.25</v>
      </c>
      <c r="M115" s="32">
        <v>393</v>
      </c>
      <c r="N115" s="32">
        <v>246.86</v>
      </c>
      <c r="O115" s="32">
        <v>0</v>
      </c>
      <c r="P115" s="32">
        <v>0</v>
      </c>
      <c r="Q115" s="32">
        <v>0</v>
      </c>
      <c r="R115" s="32">
        <v>0</v>
      </c>
      <c r="S115" s="32">
        <v>0</v>
      </c>
      <c r="T115" s="32">
        <v>0</v>
      </c>
    </row>
    <row r="116" spans="1:20" ht="18" customHeight="1">
      <c r="A116" s="676" t="s">
        <v>8</v>
      </c>
      <c r="B116" s="677"/>
      <c r="C116" s="32">
        <v>0</v>
      </c>
      <c r="D116" s="32">
        <v>0</v>
      </c>
      <c r="E116" s="32">
        <v>0</v>
      </c>
      <c r="F116" s="32">
        <v>0</v>
      </c>
      <c r="G116" s="32">
        <v>0</v>
      </c>
      <c r="H116" s="32">
        <v>0</v>
      </c>
      <c r="I116" s="32">
        <v>2366</v>
      </c>
      <c r="J116" s="32">
        <v>1729.49</v>
      </c>
      <c r="K116" s="32">
        <v>250</v>
      </c>
      <c r="L116" s="32">
        <v>196.08</v>
      </c>
      <c r="M116" s="32">
        <v>2616</v>
      </c>
      <c r="N116" s="32">
        <v>1925.57</v>
      </c>
      <c r="O116" s="32">
        <v>0</v>
      </c>
      <c r="P116" s="32">
        <v>0</v>
      </c>
      <c r="Q116" s="32">
        <v>0</v>
      </c>
      <c r="R116" s="32">
        <v>0</v>
      </c>
      <c r="S116" s="32">
        <v>0</v>
      </c>
      <c r="T116" s="32">
        <v>0</v>
      </c>
    </row>
    <row r="117" spans="1:20" ht="18" customHeight="1">
      <c r="A117" s="690" t="s">
        <v>448</v>
      </c>
      <c r="B117" s="690"/>
    </row>
    <row r="118" spans="1:20" ht="18" customHeight="1">
      <c r="A118" s="692" t="s">
        <v>445</v>
      </c>
      <c r="B118" s="693"/>
      <c r="C118" s="693"/>
      <c r="D118" s="693"/>
      <c r="E118" s="693"/>
      <c r="F118" s="693"/>
      <c r="G118" s="693"/>
      <c r="H118" s="693"/>
      <c r="I118" s="693"/>
      <c r="J118" s="693"/>
      <c r="K118" s="693"/>
      <c r="L118" s="693"/>
      <c r="M118" s="693"/>
      <c r="N118" s="693"/>
      <c r="O118" s="693"/>
      <c r="P118" s="693"/>
      <c r="Q118" s="693"/>
      <c r="R118" s="693"/>
      <c r="S118" s="693"/>
      <c r="T118" s="694"/>
    </row>
    <row r="119" spans="1:20" ht="18" customHeight="1">
      <c r="A119" s="678" t="s">
        <v>446</v>
      </c>
      <c r="B119" s="679"/>
      <c r="C119" s="679"/>
      <c r="D119" s="679"/>
      <c r="E119" s="679"/>
      <c r="F119" s="679"/>
      <c r="G119" s="679"/>
      <c r="H119" s="679"/>
      <c r="I119" s="679"/>
      <c r="J119" s="679"/>
      <c r="K119" s="679"/>
      <c r="L119" s="679"/>
      <c r="M119" s="679"/>
      <c r="N119" s="679"/>
      <c r="O119" s="679"/>
      <c r="P119" s="679"/>
      <c r="Q119" s="679"/>
      <c r="R119" s="679"/>
      <c r="S119" s="679"/>
      <c r="T119" s="680"/>
    </row>
    <row r="120" spans="1:20" ht="18" customHeight="1">
      <c r="A120" s="678" t="s">
        <v>325</v>
      </c>
      <c r="B120" s="679"/>
      <c r="C120" s="679"/>
      <c r="D120" s="679"/>
      <c r="E120" s="679"/>
      <c r="F120" s="679"/>
      <c r="G120" s="679"/>
      <c r="H120" s="679"/>
      <c r="I120" s="679"/>
      <c r="J120" s="679"/>
      <c r="K120" s="679"/>
      <c r="L120" s="679"/>
      <c r="M120" s="679"/>
      <c r="N120" s="679"/>
      <c r="O120" s="679"/>
      <c r="P120" s="679"/>
      <c r="Q120" s="679"/>
      <c r="R120" s="679"/>
      <c r="S120" s="679"/>
      <c r="T120" s="680"/>
    </row>
    <row r="121" spans="1:20" ht="18" customHeight="1">
      <c r="A121" s="681" t="s">
        <v>301</v>
      </c>
      <c r="B121" s="684" t="s">
        <v>302</v>
      </c>
      <c r="C121" s="687" t="s">
        <v>303</v>
      </c>
      <c r="D121" s="688"/>
      <c r="E121" s="688"/>
      <c r="F121" s="688"/>
      <c r="G121" s="688"/>
      <c r="H121" s="689"/>
      <c r="I121" s="687" t="s">
        <v>304</v>
      </c>
      <c r="J121" s="688"/>
      <c r="K121" s="688"/>
      <c r="L121" s="688"/>
      <c r="M121" s="688"/>
      <c r="N121" s="689"/>
      <c r="O121" s="687" t="s">
        <v>305</v>
      </c>
      <c r="P121" s="688"/>
      <c r="Q121" s="688"/>
      <c r="R121" s="688"/>
      <c r="S121" s="688"/>
      <c r="T121" s="689"/>
    </row>
    <row r="122" spans="1:20" ht="18" customHeight="1">
      <c r="A122" s="682"/>
      <c r="B122" s="685"/>
      <c r="C122" s="687" t="s">
        <v>306</v>
      </c>
      <c r="D122" s="689"/>
      <c r="E122" s="687" t="s">
        <v>307</v>
      </c>
      <c r="F122" s="689"/>
      <c r="G122" s="687" t="s">
        <v>8</v>
      </c>
      <c r="H122" s="689"/>
      <c r="I122" s="687" t="s">
        <v>306</v>
      </c>
      <c r="J122" s="689"/>
      <c r="K122" s="687" t="s">
        <v>307</v>
      </c>
      <c r="L122" s="689"/>
      <c r="M122" s="687" t="s">
        <v>8</v>
      </c>
      <c r="N122" s="689"/>
      <c r="O122" s="687" t="s">
        <v>306</v>
      </c>
      <c r="P122" s="689"/>
      <c r="Q122" s="687" t="s">
        <v>307</v>
      </c>
      <c r="R122" s="689"/>
      <c r="S122" s="687" t="s">
        <v>8</v>
      </c>
      <c r="T122" s="689"/>
    </row>
    <row r="123" spans="1:20" ht="18" customHeight="1">
      <c r="A123" s="683"/>
      <c r="B123" s="686"/>
      <c r="C123" s="30" t="s">
        <v>105</v>
      </c>
      <c r="D123" s="30" t="s">
        <v>41</v>
      </c>
      <c r="E123" s="30" t="s">
        <v>105</v>
      </c>
      <c r="F123" s="30" t="s">
        <v>41</v>
      </c>
      <c r="G123" s="30" t="s">
        <v>105</v>
      </c>
      <c r="H123" s="30" t="s">
        <v>41</v>
      </c>
      <c r="I123" s="30" t="s">
        <v>105</v>
      </c>
      <c r="J123" s="30" t="s">
        <v>41</v>
      </c>
      <c r="K123" s="30" t="s">
        <v>105</v>
      </c>
      <c r="L123" s="30" t="s">
        <v>41</v>
      </c>
      <c r="M123" s="30" t="s">
        <v>105</v>
      </c>
      <c r="N123" s="30" t="s">
        <v>41</v>
      </c>
      <c r="O123" s="30" t="s">
        <v>105</v>
      </c>
      <c r="P123" s="30" t="s">
        <v>41</v>
      </c>
      <c r="Q123" s="30" t="s">
        <v>105</v>
      </c>
      <c r="R123" s="30" t="s">
        <v>41</v>
      </c>
      <c r="S123" s="30" t="s">
        <v>105</v>
      </c>
      <c r="T123" s="30" t="s">
        <v>41</v>
      </c>
    </row>
    <row r="124" spans="1:20" ht="18" customHeight="1">
      <c r="A124" s="30">
        <v>1</v>
      </c>
      <c r="B124" s="31" t="s">
        <v>331</v>
      </c>
      <c r="C124" s="32">
        <v>0</v>
      </c>
      <c r="D124" s="32">
        <v>0</v>
      </c>
      <c r="E124" s="32">
        <v>0</v>
      </c>
      <c r="F124" s="32">
        <v>0</v>
      </c>
      <c r="G124" s="32">
        <v>0</v>
      </c>
      <c r="H124" s="32">
        <v>0</v>
      </c>
      <c r="I124" s="32">
        <v>34</v>
      </c>
      <c r="J124" s="32">
        <v>27.06</v>
      </c>
      <c r="K124" s="32">
        <v>0</v>
      </c>
      <c r="L124" s="32">
        <v>0</v>
      </c>
      <c r="M124" s="32">
        <v>34</v>
      </c>
      <c r="N124" s="32">
        <v>27.06</v>
      </c>
      <c r="O124" s="32">
        <v>0</v>
      </c>
      <c r="P124" s="32">
        <v>0</v>
      </c>
      <c r="Q124" s="32">
        <v>0</v>
      </c>
      <c r="R124" s="32">
        <v>0</v>
      </c>
      <c r="S124" s="32">
        <v>0</v>
      </c>
      <c r="T124" s="32">
        <v>0</v>
      </c>
    </row>
    <row r="125" spans="1:20" ht="18" customHeight="1">
      <c r="A125" s="676" t="s">
        <v>8</v>
      </c>
      <c r="B125" s="677"/>
      <c r="C125" s="32">
        <v>0</v>
      </c>
      <c r="D125" s="32">
        <v>0</v>
      </c>
      <c r="E125" s="32">
        <v>0</v>
      </c>
      <c r="F125" s="32">
        <v>0</v>
      </c>
      <c r="G125" s="32">
        <v>0</v>
      </c>
      <c r="H125" s="32">
        <v>0</v>
      </c>
      <c r="I125" s="32">
        <v>34</v>
      </c>
      <c r="J125" s="32">
        <v>27.06</v>
      </c>
      <c r="K125" s="32">
        <v>0</v>
      </c>
      <c r="L125" s="32">
        <v>0</v>
      </c>
      <c r="M125" s="32">
        <v>34</v>
      </c>
      <c r="N125" s="32">
        <v>27.06</v>
      </c>
      <c r="O125" s="32">
        <v>0</v>
      </c>
      <c r="P125" s="32">
        <v>0</v>
      </c>
      <c r="Q125" s="32">
        <v>0</v>
      </c>
      <c r="R125" s="32">
        <v>0</v>
      </c>
      <c r="S125" s="32">
        <v>0</v>
      </c>
      <c r="T125" s="32">
        <v>0</v>
      </c>
    </row>
    <row r="126" spans="1:20" ht="18" customHeight="1">
      <c r="A126" s="678" t="s">
        <v>446</v>
      </c>
      <c r="B126" s="679"/>
      <c r="C126" s="679"/>
      <c r="D126" s="679"/>
      <c r="E126" s="679"/>
      <c r="F126" s="679"/>
      <c r="G126" s="679"/>
      <c r="H126" s="679"/>
      <c r="I126" s="679"/>
      <c r="J126" s="679"/>
      <c r="K126" s="679"/>
      <c r="L126" s="679"/>
      <c r="M126" s="679"/>
      <c r="N126" s="679"/>
      <c r="O126" s="679"/>
      <c r="P126" s="679"/>
      <c r="Q126" s="679"/>
      <c r="R126" s="679"/>
      <c r="S126" s="679"/>
      <c r="T126" s="680"/>
    </row>
    <row r="127" spans="1:20" ht="18" customHeight="1">
      <c r="A127" s="678" t="s">
        <v>343</v>
      </c>
      <c r="B127" s="679"/>
      <c r="C127" s="679"/>
      <c r="D127" s="679"/>
      <c r="E127" s="679"/>
      <c r="F127" s="679"/>
      <c r="G127" s="679"/>
      <c r="H127" s="679"/>
      <c r="I127" s="679"/>
      <c r="J127" s="679"/>
      <c r="K127" s="679"/>
      <c r="L127" s="679"/>
      <c r="M127" s="679"/>
      <c r="N127" s="679"/>
      <c r="O127" s="679"/>
      <c r="P127" s="679"/>
      <c r="Q127" s="679"/>
      <c r="R127" s="679"/>
      <c r="S127" s="679"/>
      <c r="T127" s="680"/>
    </row>
    <row r="128" spans="1:20" ht="18" customHeight="1">
      <c r="A128" s="681" t="s">
        <v>301</v>
      </c>
      <c r="B128" s="684" t="s">
        <v>302</v>
      </c>
      <c r="C128" s="687" t="s">
        <v>303</v>
      </c>
      <c r="D128" s="688"/>
      <c r="E128" s="688"/>
      <c r="F128" s="688"/>
      <c r="G128" s="688"/>
      <c r="H128" s="689"/>
      <c r="I128" s="687" t="s">
        <v>304</v>
      </c>
      <c r="J128" s="688"/>
      <c r="K128" s="688"/>
      <c r="L128" s="688"/>
      <c r="M128" s="688"/>
      <c r="N128" s="689"/>
      <c r="O128" s="687" t="s">
        <v>305</v>
      </c>
      <c r="P128" s="688"/>
      <c r="Q128" s="688"/>
      <c r="R128" s="688"/>
      <c r="S128" s="688"/>
      <c r="T128" s="689"/>
    </row>
    <row r="129" spans="1:20" ht="18" customHeight="1">
      <c r="A129" s="682"/>
      <c r="B129" s="685"/>
      <c r="C129" s="687" t="s">
        <v>306</v>
      </c>
      <c r="D129" s="689"/>
      <c r="E129" s="687" t="s">
        <v>307</v>
      </c>
      <c r="F129" s="689"/>
      <c r="G129" s="687" t="s">
        <v>8</v>
      </c>
      <c r="H129" s="689"/>
      <c r="I129" s="687" t="s">
        <v>306</v>
      </c>
      <c r="J129" s="689"/>
      <c r="K129" s="687" t="s">
        <v>307</v>
      </c>
      <c r="L129" s="689"/>
      <c r="M129" s="687" t="s">
        <v>8</v>
      </c>
      <c r="N129" s="689"/>
      <c r="O129" s="687" t="s">
        <v>306</v>
      </c>
      <c r="P129" s="689"/>
      <c r="Q129" s="687" t="s">
        <v>307</v>
      </c>
      <c r="R129" s="689"/>
      <c r="S129" s="687" t="s">
        <v>8</v>
      </c>
      <c r="T129" s="689"/>
    </row>
    <row r="130" spans="1:20" ht="18" customHeight="1">
      <c r="A130" s="683"/>
      <c r="B130" s="686"/>
      <c r="C130" s="30" t="s">
        <v>105</v>
      </c>
      <c r="D130" s="30" t="s">
        <v>41</v>
      </c>
      <c r="E130" s="30" t="s">
        <v>105</v>
      </c>
      <c r="F130" s="30" t="s">
        <v>41</v>
      </c>
      <c r="G130" s="30" t="s">
        <v>105</v>
      </c>
      <c r="H130" s="30" t="s">
        <v>41</v>
      </c>
      <c r="I130" s="30" t="s">
        <v>105</v>
      </c>
      <c r="J130" s="30" t="s">
        <v>41</v>
      </c>
      <c r="K130" s="30" t="s">
        <v>105</v>
      </c>
      <c r="L130" s="30" t="s">
        <v>41</v>
      </c>
      <c r="M130" s="30" t="s">
        <v>105</v>
      </c>
      <c r="N130" s="30" t="s">
        <v>41</v>
      </c>
      <c r="O130" s="30" t="s">
        <v>105</v>
      </c>
      <c r="P130" s="30" t="s">
        <v>41</v>
      </c>
      <c r="Q130" s="30" t="s">
        <v>105</v>
      </c>
      <c r="R130" s="30" t="s">
        <v>41</v>
      </c>
      <c r="S130" s="30" t="s">
        <v>105</v>
      </c>
      <c r="T130" s="30" t="s">
        <v>41</v>
      </c>
    </row>
    <row r="131" spans="1:20" ht="18" customHeight="1">
      <c r="A131" s="30">
        <v>1</v>
      </c>
      <c r="B131" s="31" t="s">
        <v>343</v>
      </c>
      <c r="C131" s="32">
        <v>0</v>
      </c>
      <c r="D131" s="32">
        <v>0</v>
      </c>
      <c r="E131" s="32">
        <v>0</v>
      </c>
      <c r="F131" s="32">
        <v>0</v>
      </c>
      <c r="G131" s="32">
        <v>0</v>
      </c>
      <c r="H131" s="32">
        <v>0</v>
      </c>
      <c r="I131" s="32">
        <v>226</v>
      </c>
      <c r="J131" s="32">
        <v>227.53</v>
      </c>
      <c r="K131" s="32">
        <v>0</v>
      </c>
      <c r="L131" s="32">
        <v>0</v>
      </c>
      <c r="M131" s="32">
        <v>226</v>
      </c>
      <c r="N131" s="32">
        <v>227.53</v>
      </c>
      <c r="O131" s="32">
        <v>0</v>
      </c>
      <c r="P131" s="32">
        <v>0</v>
      </c>
      <c r="Q131" s="32">
        <v>0</v>
      </c>
      <c r="R131" s="32">
        <v>0</v>
      </c>
      <c r="S131" s="32">
        <v>0</v>
      </c>
      <c r="T131" s="32">
        <v>0</v>
      </c>
    </row>
    <row r="132" spans="1:20" ht="18" customHeight="1">
      <c r="A132" s="676" t="s">
        <v>8</v>
      </c>
      <c r="B132" s="677"/>
      <c r="C132" s="32">
        <v>0</v>
      </c>
      <c r="D132" s="32">
        <v>0</v>
      </c>
      <c r="E132" s="32">
        <v>0</v>
      </c>
      <c r="F132" s="32">
        <v>0</v>
      </c>
      <c r="G132" s="32">
        <v>0</v>
      </c>
      <c r="H132" s="32">
        <v>0</v>
      </c>
      <c r="I132" s="32">
        <v>226</v>
      </c>
      <c r="J132" s="32">
        <v>227.53</v>
      </c>
      <c r="K132" s="32">
        <v>0</v>
      </c>
      <c r="L132" s="32">
        <v>0</v>
      </c>
      <c r="M132" s="32">
        <v>226</v>
      </c>
      <c r="N132" s="32">
        <v>227.53</v>
      </c>
      <c r="O132" s="32">
        <v>0</v>
      </c>
      <c r="P132" s="32">
        <v>0</v>
      </c>
      <c r="Q132" s="32">
        <v>0</v>
      </c>
      <c r="R132" s="32">
        <v>0</v>
      </c>
      <c r="S132" s="32">
        <v>0</v>
      </c>
      <c r="T132" s="32">
        <v>0</v>
      </c>
    </row>
    <row r="133" spans="1:20" ht="18" customHeight="1">
      <c r="A133" s="678" t="s">
        <v>446</v>
      </c>
      <c r="B133" s="679"/>
      <c r="C133" s="679"/>
      <c r="D133" s="679"/>
      <c r="E133" s="679"/>
      <c r="F133" s="679"/>
      <c r="G133" s="679"/>
      <c r="H133" s="679"/>
      <c r="I133" s="679"/>
      <c r="J133" s="679"/>
      <c r="K133" s="679"/>
      <c r="L133" s="679"/>
      <c r="M133" s="679"/>
      <c r="N133" s="679"/>
      <c r="O133" s="679"/>
      <c r="P133" s="679"/>
      <c r="Q133" s="679"/>
      <c r="R133" s="679"/>
      <c r="S133" s="679"/>
      <c r="T133" s="680"/>
    </row>
    <row r="134" spans="1:20" ht="18" customHeight="1">
      <c r="A134" s="678" t="s">
        <v>344</v>
      </c>
      <c r="B134" s="679"/>
      <c r="C134" s="679"/>
      <c r="D134" s="679"/>
      <c r="E134" s="679"/>
      <c r="F134" s="679"/>
      <c r="G134" s="679"/>
      <c r="H134" s="679"/>
      <c r="I134" s="679"/>
      <c r="J134" s="679"/>
      <c r="K134" s="679"/>
      <c r="L134" s="679"/>
      <c r="M134" s="679"/>
      <c r="N134" s="679"/>
      <c r="O134" s="679"/>
      <c r="P134" s="679"/>
      <c r="Q134" s="679"/>
      <c r="R134" s="679"/>
      <c r="S134" s="679"/>
      <c r="T134" s="680"/>
    </row>
    <row r="135" spans="1:20" ht="18" customHeight="1">
      <c r="A135" s="681" t="s">
        <v>301</v>
      </c>
      <c r="B135" s="684" t="s">
        <v>302</v>
      </c>
      <c r="C135" s="687" t="s">
        <v>303</v>
      </c>
      <c r="D135" s="688"/>
      <c r="E135" s="688"/>
      <c r="F135" s="688"/>
      <c r="G135" s="688"/>
      <c r="H135" s="689"/>
      <c r="I135" s="687" t="s">
        <v>304</v>
      </c>
      <c r="J135" s="688"/>
      <c r="K135" s="688"/>
      <c r="L135" s="688"/>
      <c r="M135" s="688"/>
      <c r="N135" s="689"/>
      <c r="O135" s="687" t="s">
        <v>305</v>
      </c>
      <c r="P135" s="688"/>
      <c r="Q135" s="688"/>
      <c r="R135" s="688"/>
      <c r="S135" s="688"/>
      <c r="T135" s="689"/>
    </row>
    <row r="136" spans="1:20" ht="18" customHeight="1">
      <c r="A136" s="682"/>
      <c r="B136" s="685"/>
      <c r="C136" s="687" t="s">
        <v>306</v>
      </c>
      <c r="D136" s="689"/>
      <c r="E136" s="687" t="s">
        <v>307</v>
      </c>
      <c r="F136" s="689"/>
      <c r="G136" s="687" t="s">
        <v>8</v>
      </c>
      <c r="H136" s="689"/>
      <c r="I136" s="687" t="s">
        <v>306</v>
      </c>
      <c r="J136" s="689"/>
      <c r="K136" s="687" t="s">
        <v>307</v>
      </c>
      <c r="L136" s="689"/>
      <c r="M136" s="687" t="s">
        <v>8</v>
      </c>
      <c r="N136" s="689"/>
      <c r="O136" s="687" t="s">
        <v>306</v>
      </c>
      <c r="P136" s="689"/>
      <c r="Q136" s="687" t="s">
        <v>307</v>
      </c>
      <c r="R136" s="689"/>
      <c r="S136" s="687" t="s">
        <v>8</v>
      </c>
      <c r="T136" s="689"/>
    </row>
    <row r="137" spans="1:20" ht="18" customHeight="1">
      <c r="A137" s="683"/>
      <c r="B137" s="686"/>
      <c r="C137" s="30" t="s">
        <v>105</v>
      </c>
      <c r="D137" s="30" t="s">
        <v>41</v>
      </c>
      <c r="E137" s="30" t="s">
        <v>105</v>
      </c>
      <c r="F137" s="30" t="s">
        <v>41</v>
      </c>
      <c r="G137" s="30" t="s">
        <v>105</v>
      </c>
      <c r="H137" s="30" t="s">
        <v>41</v>
      </c>
      <c r="I137" s="30" t="s">
        <v>105</v>
      </c>
      <c r="J137" s="30" t="s">
        <v>41</v>
      </c>
      <c r="K137" s="30" t="s">
        <v>105</v>
      </c>
      <c r="L137" s="30" t="s">
        <v>41</v>
      </c>
      <c r="M137" s="30" t="s">
        <v>105</v>
      </c>
      <c r="N137" s="30" t="s">
        <v>41</v>
      </c>
      <c r="O137" s="30" t="s">
        <v>105</v>
      </c>
      <c r="P137" s="30" t="s">
        <v>41</v>
      </c>
      <c r="Q137" s="30" t="s">
        <v>105</v>
      </c>
      <c r="R137" s="30" t="s">
        <v>41</v>
      </c>
      <c r="S137" s="30" t="s">
        <v>105</v>
      </c>
      <c r="T137" s="30" t="s">
        <v>41</v>
      </c>
    </row>
    <row r="138" spans="1:20" ht="18" customHeight="1">
      <c r="A138" s="30">
        <v>1</v>
      </c>
      <c r="B138" s="31" t="s">
        <v>447</v>
      </c>
      <c r="C138" s="32">
        <v>0</v>
      </c>
      <c r="D138" s="32">
        <v>0</v>
      </c>
      <c r="E138" s="32">
        <v>0</v>
      </c>
      <c r="F138" s="32">
        <v>0</v>
      </c>
      <c r="G138" s="32">
        <v>0</v>
      </c>
      <c r="H138" s="32">
        <v>0</v>
      </c>
      <c r="I138" s="32">
        <v>13</v>
      </c>
      <c r="J138" s="32">
        <v>6.83</v>
      </c>
      <c r="K138" s="32">
        <v>0</v>
      </c>
      <c r="L138" s="32">
        <v>0</v>
      </c>
      <c r="M138" s="32">
        <v>13</v>
      </c>
      <c r="N138" s="32">
        <v>6.83</v>
      </c>
      <c r="O138" s="32">
        <v>0</v>
      </c>
      <c r="P138" s="32">
        <v>0</v>
      </c>
      <c r="Q138" s="32">
        <v>0</v>
      </c>
      <c r="R138" s="32">
        <v>0</v>
      </c>
      <c r="S138" s="32">
        <v>0</v>
      </c>
      <c r="T138" s="32">
        <v>0</v>
      </c>
    </row>
    <row r="139" spans="1:20" ht="18" customHeight="1">
      <c r="A139" s="30">
        <v>2</v>
      </c>
      <c r="B139" s="31" t="s">
        <v>345</v>
      </c>
      <c r="C139" s="32">
        <v>0</v>
      </c>
      <c r="D139" s="32">
        <v>0</v>
      </c>
      <c r="E139" s="32">
        <v>0</v>
      </c>
      <c r="F139" s="32">
        <v>0</v>
      </c>
      <c r="G139" s="32">
        <v>0</v>
      </c>
      <c r="H139" s="32">
        <v>0</v>
      </c>
      <c r="I139" s="32">
        <v>34</v>
      </c>
      <c r="J139" s="32">
        <v>21.67</v>
      </c>
      <c r="K139" s="32">
        <v>0</v>
      </c>
      <c r="L139" s="32">
        <v>0</v>
      </c>
      <c r="M139" s="32">
        <v>34</v>
      </c>
      <c r="N139" s="32">
        <v>21.67</v>
      </c>
      <c r="O139" s="32">
        <v>0</v>
      </c>
      <c r="P139" s="32">
        <v>0</v>
      </c>
      <c r="Q139" s="32">
        <v>0</v>
      </c>
      <c r="R139" s="32">
        <v>0</v>
      </c>
      <c r="S139" s="32">
        <v>0</v>
      </c>
      <c r="T139" s="32">
        <v>0</v>
      </c>
    </row>
    <row r="140" spans="1:20" ht="18" customHeight="1">
      <c r="A140" s="30">
        <v>3</v>
      </c>
      <c r="B140" s="31" t="s">
        <v>320</v>
      </c>
      <c r="C140" s="32">
        <v>0</v>
      </c>
      <c r="D140" s="32">
        <v>0</v>
      </c>
      <c r="E140" s="32">
        <v>0</v>
      </c>
      <c r="F140" s="32">
        <v>0</v>
      </c>
      <c r="G140" s="32">
        <v>0</v>
      </c>
      <c r="H140" s="32">
        <v>0</v>
      </c>
      <c r="I140" s="32">
        <v>117</v>
      </c>
      <c r="J140" s="32">
        <v>82.94</v>
      </c>
      <c r="K140" s="32">
        <v>0</v>
      </c>
      <c r="L140" s="32">
        <v>0</v>
      </c>
      <c r="M140" s="32">
        <v>117</v>
      </c>
      <c r="N140" s="32">
        <v>82.94</v>
      </c>
      <c r="O140" s="32">
        <v>0</v>
      </c>
      <c r="P140" s="32">
        <v>0</v>
      </c>
      <c r="Q140" s="32">
        <v>0</v>
      </c>
      <c r="R140" s="32">
        <v>0</v>
      </c>
      <c r="S140" s="32">
        <v>0</v>
      </c>
      <c r="T140" s="32">
        <v>0</v>
      </c>
    </row>
    <row r="141" spans="1:20" ht="18" customHeight="1">
      <c r="A141" s="30">
        <v>4</v>
      </c>
      <c r="B141" s="31" t="s">
        <v>346</v>
      </c>
      <c r="C141" s="32">
        <v>0</v>
      </c>
      <c r="D141" s="32">
        <v>0</v>
      </c>
      <c r="E141" s="32">
        <v>0</v>
      </c>
      <c r="F141" s="32">
        <v>0</v>
      </c>
      <c r="G141" s="32">
        <v>0</v>
      </c>
      <c r="H141" s="32">
        <v>0</v>
      </c>
      <c r="I141" s="32">
        <v>4</v>
      </c>
      <c r="J141" s="32">
        <v>4.4400000000000004</v>
      </c>
      <c r="K141" s="32">
        <v>0</v>
      </c>
      <c r="L141" s="32">
        <v>0</v>
      </c>
      <c r="M141" s="32">
        <v>4</v>
      </c>
      <c r="N141" s="32">
        <v>4.4400000000000004</v>
      </c>
      <c r="O141" s="32">
        <v>4</v>
      </c>
      <c r="P141" s="32">
        <v>2.44</v>
      </c>
      <c r="Q141" s="32">
        <v>0</v>
      </c>
      <c r="R141" s="32">
        <v>0</v>
      </c>
      <c r="S141" s="32">
        <v>4</v>
      </c>
      <c r="T141" s="32">
        <v>2.44</v>
      </c>
    </row>
    <row r="142" spans="1:20" ht="18" customHeight="1">
      <c r="A142" s="676" t="s">
        <v>8</v>
      </c>
      <c r="B142" s="677"/>
      <c r="C142" s="32">
        <v>0</v>
      </c>
      <c r="D142" s="32">
        <v>0</v>
      </c>
      <c r="E142" s="32">
        <v>0</v>
      </c>
      <c r="F142" s="32">
        <v>0</v>
      </c>
      <c r="G142" s="32">
        <v>0</v>
      </c>
      <c r="H142" s="32">
        <v>0</v>
      </c>
      <c r="I142" s="32">
        <v>168</v>
      </c>
      <c r="J142" s="32">
        <v>115.88</v>
      </c>
      <c r="K142" s="32">
        <v>0</v>
      </c>
      <c r="L142" s="32">
        <v>0</v>
      </c>
      <c r="M142" s="32">
        <v>168</v>
      </c>
      <c r="N142" s="32">
        <v>115.88</v>
      </c>
      <c r="O142" s="32">
        <v>4</v>
      </c>
      <c r="P142" s="32">
        <v>2.44</v>
      </c>
      <c r="Q142" s="32">
        <v>0</v>
      </c>
      <c r="R142" s="32">
        <v>0</v>
      </c>
      <c r="S142" s="32">
        <v>4</v>
      </c>
      <c r="T142" s="32">
        <v>2.44</v>
      </c>
    </row>
    <row r="143" spans="1:20" ht="18" customHeight="1">
      <c r="A143" s="678" t="s">
        <v>446</v>
      </c>
      <c r="B143" s="679"/>
      <c r="C143" s="679"/>
      <c r="D143" s="679"/>
      <c r="E143" s="679"/>
      <c r="F143" s="679"/>
      <c r="G143" s="679"/>
      <c r="H143" s="679"/>
      <c r="I143" s="679"/>
      <c r="J143" s="679"/>
      <c r="K143" s="679"/>
      <c r="L143" s="679"/>
      <c r="M143" s="679"/>
      <c r="N143" s="679"/>
      <c r="O143" s="679"/>
      <c r="P143" s="679"/>
      <c r="Q143" s="679"/>
      <c r="R143" s="679"/>
      <c r="S143" s="679"/>
      <c r="T143" s="680"/>
    </row>
    <row r="144" spans="1:20" ht="18" customHeight="1">
      <c r="A144" s="678" t="s">
        <v>347</v>
      </c>
      <c r="B144" s="679"/>
      <c r="C144" s="679"/>
      <c r="D144" s="679"/>
      <c r="E144" s="679"/>
      <c r="F144" s="679"/>
      <c r="G144" s="679"/>
      <c r="H144" s="679"/>
      <c r="I144" s="679"/>
      <c r="J144" s="679"/>
      <c r="K144" s="679"/>
      <c r="L144" s="679"/>
      <c r="M144" s="679"/>
      <c r="N144" s="679"/>
      <c r="O144" s="679"/>
      <c r="P144" s="679"/>
      <c r="Q144" s="679"/>
      <c r="R144" s="679"/>
      <c r="S144" s="679"/>
      <c r="T144" s="680"/>
    </row>
    <row r="145" spans="1:20" ht="18" customHeight="1">
      <c r="A145" s="681" t="s">
        <v>301</v>
      </c>
      <c r="B145" s="684" t="s">
        <v>302</v>
      </c>
      <c r="C145" s="687" t="s">
        <v>303</v>
      </c>
      <c r="D145" s="688"/>
      <c r="E145" s="688"/>
      <c r="F145" s="688"/>
      <c r="G145" s="688"/>
      <c r="H145" s="689"/>
      <c r="I145" s="687" t="s">
        <v>304</v>
      </c>
      <c r="J145" s="688"/>
      <c r="K145" s="688"/>
      <c r="L145" s="688"/>
      <c r="M145" s="688"/>
      <c r="N145" s="689"/>
      <c r="O145" s="687" t="s">
        <v>305</v>
      </c>
      <c r="P145" s="688"/>
      <c r="Q145" s="688"/>
      <c r="R145" s="688"/>
      <c r="S145" s="688"/>
      <c r="T145" s="689"/>
    </row>
    <row r="146" spans="1:20" ht="18" customHeight="1">
      <c r="A146" s="682"/>
      <c r="B146" s="685"/>
      <c r="C146" s="687" t="s">
        <v>306</v>
      </c>
      <c r="D146" s="689"/>
      <c r="E146" s="687" t="s">
        <v>307</v>
      </c>
      <c r="F146" s="689"/>
      <c r="G146" s="687" t="s">
        <v>8</v>
      </c>
      <c r="H146" s="689"/>
      <c r="I146" s="687" t="s">
        <v>306</v>
      </c>
      <c r="J146" s="689"/>
      <c r="K146" s="687" t="s">
        <v>307</v>
      </c>
      <c r="L146" s="689"/>
      <c r="M146" s="687" t="s">
        <v>8</v>
      </c>
      <c r="N146" s="689"/>
      <c r="O146" s="687" t="s">
        <v>306</v>
      </c>
      <c r="P146" s="689"/>
      <c r="Q146" s="687" t="s">
        <v>307</v>
      </c>
      <c r="R146" s="689"/>
      <c r="S146" s="687" t="s">
        <v>8</v>
      </c>
      <c r="T146" s="689"/>
    </row>
    <row r="147" spans="1:20" ht="18" customHeight="1">
      <c r="A147" s="683"/>
      <c r="B147" s="686"/>
      <c r="C147" s="30" t="s">
        <v>105</v>
      </c>
      <c r="D147" s="30" t="s">
        <v>41</v>
      </c>
      <c r="E147" s="30" t="s">
        <v>105</v>
      </c>
      <c r="F147" s="30" t="s">
        <v>41</v>
      </c>
      <c r="G147" s="30" t="s">
        <v>105</v>
      </c>
      <c r="H147" s="30" t="s">
        <v>41</v>
      </c>
      <c r="I147" s="30" t="s">
        <v>105</v>
      </c>
      <c r="J147" s="30" t="s">
        <v>41</v>
      </c>
      <c r="K147" s="30" t="s">
        <v>105</v>
      </c>
      <c r="L147" s="30" t="s">
        <v>41</v>
      </c>
      <c r="M147" s="30" t="s">
        <v>105</v>
      </c>
      <c r="N147" s="30" t="s">
        <v>41</v>
      </c>
      <c r="O147" s="30" t="s">
        <v>105</v>
      </c>
      <c r="P147" s="30" t="s">
        <v>41</v>
      </c>
      <c r="Q147" s="30" t="s">
        <v>105</v>
      </c>
      <c r="R147" s="30" t="s">
        <v>41</v>
      </c>
      <c r="S147" s="30" t="s">
        <v>105</v>
      </c>
      <c r="T147" s="30" t="s">
        <v>41</v>
      </c>
    </row>
    <row r="148" spans="1:20" ht="18" customHeight="1">
      <c r="A148" s="30">
        <v>1</v>
      </c>
      <c r="B148" s="31" t="s">
        <v>337</v>
      </c>
      <c r="C148" s="32">
        <v>0</v>
      </c>
      <c r="D148" s="32">
        <v>0</v>
      </c>
      <c r="E148" s="32">
        <v>0</v>
      </c>
      <c r="F148" s="32">
        <v>0</v>
      </c>
      <c r="G148" s="32">
        <v>0</v>
      </c>
      <c r="H148" s="32">
        <v>0</v>
      </c>
      <c r="I148" s="32">
        <v>80</v>
      </c>
      <c r="J148" s="32">
        <v>68.69</v>
      </c>
      <c r="K148" s="32">
        <v>0</v>
      </c>
      <c r="L148" s="32">
        <v>0</v>
      </c>
      <c r="M148" s="32">
        <v>80</v>
      </c>
      <c r="N148" s="32">
        <v>68.69</v>
      </c>
      <c r="O148" s="32">
        <v>0</v>
      </c>
      <c r="P148" s="32">
        <v>0</v>
      </c>
      <c r="Q148" s="32">
        <v>0</v>
      </c>
      <c r="R148" s="32">
        <v>0</v>
      </c>
      <c r="S148" s="32">
        <v>0</v>
      </c>
      <c r="T148" s="32">
        <v>0</v>
      </c>
    </row>
    <row r="149" spans="1:20" ht="18" customHeight="1">
      <c r="A149" s="30">
        <v>2</v>
      </c>
      <c r="B149" s="31" t="s">
        <v>338</v>
      </c>
      <c r="C149" s="32">
        <v>0</v>
      </c>
      <c r="D149" s="32">
        <v>0</v>
      </c>
      <c r="E149" s="32">
        <v>0</v>
      </c>
      <c r="F149" s="32">
        <v>0</v>
      </c>
      <c r="G149" s="32">
        <v>0</v>
      </c>
      <c r="H149" s="32">
        <v>0</v>
      </c>
      <c r="I149" s="32">
        <v>156</v>
      </c>
      <c r="J149" s="32">
        <v>122.83</v>
      </c>
      <c r="K149" s="32">
        <v>0</v>
      </c>
      <c r="L149" s="32">
        <v>0</v>
      </c>
      <c r="M149" s="32">
        <v>156</v>
      </c>
      <c r="N149" s="32">
        <v>122.83</v>
      </c>
      <c r="O149" s="32">
        <v>0</v>
      </c>
      <c r="P149" s="32">
        <v>0</v>
      </c>
      <c r="Q149" s="32">
        <v>0</v>
      </c>
      <c r="R149" s="32">
        <v>0</v>
      </c>
      <c r="S149" s="32">
        <v>0</v>
      </c>
      <c r="T149" s="32">
        <v>0</v>
      </c>
    </row>
    <row r="150" spans="1:20" ht="18" customHeight="1">
      <c r="A150" s="30">
        <v>3</v>
      </c>
      <c r="B150" s="31" t="s">
        <v>340</v>
      </c>
      <c r="C150" s="32">
        <v>0</v>
      </c>
      <c r="D150" s="32">
        <v>0</v>
      </c>
      <c r="E150" s="32">
        <v>0</v>
      </c>
      <c r="F150" s="32">
        <v>0</v>
      </c>
      <c r="G150" s="32">
        <v>0</v>
      </c>
      <c r="H150" s="32">
        <v>0</v>
      </c>
      <c r="I150" s="32">
        <v>0</v>
      </c>
      <c r="J150" s="32">
        <v>0</v>
      </c>
      <c r="K150" s="32">
        <v>0</v>
      </c>
      <c r="L150" s="32">
        <v>0</v>
      </c>
      <c r="M150" s="32">
        <v>0</v>
      </c>
      <c r="N150" s="32">
        <v>0</v>
      </c>
      <c r="O150" s="32">
        <v>1</v>
      </c>
      <c r="P150" s="32">
        <v>1.44</v>
      </c>
      <c r="Q150" s="32">
        <v>0</v>
      </c>
      <c r="R150" s="32">
        <v>0</v>
      </c>
      <c r="S150" s="32">
        <v>1</v>
      </c>
      <c r="T150" s="32">
        <v>1.44</v>
      </c>
    </row>
    <row r="151" spans="1:20" ht="18" customHeight="1">
      <c r="A151" s="676" t="s">
        <v>8</v>
      </c>
      <c r="B151" s="677"/>
      <c r="C151" s="32">
        <v>0</v>
      </c>
      <c r="D151" s="32">
        <v>0</v>
      </c>
      <c r="E151" s="32">
        <v>0</v>
      </c>
      <c r="F151" s="32">
        <v>0</v>
      </c>
      <c r="G151" s="32">
        <v>0</v>
      </c>
      <c r="H151" s="32">
        <v>0</v>
      </c>
      <c r="I151" s="32">
        <v>236</v>
      </c>
      <c r="J151" s="32">
        <v>191.52</v>
      </c>
      <c r="K151" s="32">
        <v>0</v>
      </c>
      <c r="L151" s="32">
        <v>0</v>
      </c>
      <c r="M151" s="32">
        <v>236</v>
      </c>
      <c r="N151" s="32">
        <v>191.52</v>
      </c>
      <c r="O151" s="32">
        <v>1</v>
      </c>
      <c r="P151" s="32">
        <v>1.44</v>
      </c>
      <c r="Q151" s="32">
        <v>0</v>
      </c>
      <c r="R151" s="32">
        <v>0</v>
      </c>
      <c r="S151" s="32">
        <v>1</v>
      </c>
      <c r="T151" s="32">
        <v>1.44</v>
      </c>
    </row>
    <row r="154" spans="1:20" ht="18" customHeight="1">
      <c r="A154" s="690" t="s">
        <v>451</v>
      </c>
      <c r="B154" s="690"/>
    </row>
    <row r="155" spans="1:20" ht="18" customHeight="1">
      <c r="A155" s="692" t="s">
        <v>445</v>
      </c>
      <c r="B155" s="693"/>
      <c r="C155" s="693"/>
      <c r="D155" s="693"/>
      <c r="E155" s="693"/>
      <c r="F155" s="693"/>
      <c r="G155" s="693"/>
      <c r="H155" s="693"/>
      <c r="I155" s="693"/>
      <c r="J155" s="693"/>
      <c r="K155" s="693"/>
      <c r="L155" s="693"/>
      <c r="M155" s="693"/>
      <c r="N155" s="693"/>
      <c r="O155" s="693"/>
      <c r="P155" s="693"/>
      <c r="Q155" s="693"/>
      <c r="R155" s="693"/>
      <c r="S155" s="693"/>
      <c r="T155" s="694"/>
    </row>
    <row r="156" spans="1:20" ht="18" customHeight="1">
      <c r="A156" s="678" t="s">
        <v>446</v>
      </c>
      <c r="B156" s="679"/>
      <c r="C156" s="679"/>
      <c r="D156" s="679"/>
      <c r="E156" s="679"/>
      <c r="F156" s="679"/>
      <c r="G156" s="679"/>
      <c r="H156" s="679"/>
      <c r="I156" s="679"/>
      <c r="J156" s="679"/>
      <c r="K156" s="679"/>
      <c r="L156" s="679"/>
      <c r="M156" s="679"/>
      <c r="N156" s="679"/>
      <c r="O156" s="679"/>
      <c r="P156" s="679"/>
      <c r="Q156" s="679"/>
      <c r="R156" s="679"/>
      <c r="S156" s="679"/>
      <c r="T156" s="680"/>
    </row>
    <row r="157" spans="1:20" ht="18" customHeight="1">
      <c r="A157" s="678" t="s">
        <v>61</v>
      </c>
      <c r="B157" s="679"/>
      <c r="C157" s="679"/>
      <c r="D157" s="679"/>
      <c r="E157" s="679"/>
      <c r="F157" s="679"/>
      <c r="G157" s="679"/>
      <c r="H157" s="679"/>
      <c r="I157" s="679"/>
      <c r="J157" s="679"/>
      <c r="K157" s="679"/>
      <c r="L157" s="679"/>
      <c r="M157" s="679"/>
      <c r="N157" s="679"/>
      <c r="O157" s="679"/>
      <c r="P157" s="679"/>
      <c r="Q157" s="679"/>
      <c r="R157" s="679"/>
      <c r="S157" s="679"/>
      <c r="T157" s="680"/>
    </row>
    <row r="158" spans="1:20" ht="18" customHeight="1">
      <c r="A158" s="681" t="s">
        <v>301</v>
      </c>
      <c r="B158" s="684" t="s">
        <v>302</v>
      </c>
      <c r="C158" s="687" t="s">
        <v>303</v>
      </c>
      <c r="D158" s="688"/>
      <c r="E158" s="688"/>
      <c r="F158" s="688"/>
      <c r="G158" s="688"/>
      <c r="H158" s="689"/>
      <c r="I158" s="687" t="s">
        <v>304</v>
      </c>
      <c r="J158" s="688"/>
      <c r="K158" s="688"/>
      <c r="L158" s="688"/>
      <c r="M158" s="688"/>
      <c r="N158" s="689"/>
      <c r="O158" s="687" t="s">
        <v>305</v>
      </c>
      <c r="P158" s="688"/>
      <c r="Q158" s="688"/>
      <c r="R158" s="688"/>
      <c r="S158" s="688"/>
      <c r="T158" s="689"/>
    </row>
    <row r="159" spans="1:20" ht="18" customHeight="1">
      <c r="A159" s="682"/>
      <c r="B159" s="685"/>
      <c r="C159" s="687" t="s">
        <v>306</v>
      </c>
      <c r="D159" s="689"/>
      <c r="E159" s="687" t="s">
        <v>307</v>
      </c>
      <c r="F159" s="689"/>
      <c r="G159" s="687" t="s">
        <v>8</v>
      </c>
      <c r="H159" s="689"/>
      <c r="I159" s="687" t="s">
        <v>306</v>
      </c>
      <c r="J159" s="689"/>
      <c r="K159" s="687" t="s">
        <v>307</v>
      </c>
      <c r="L159" s="689"/>
      <c r="M159" s="687" t="s">
        <v>8</v>
      </c>
      <c r="N159" s="689"/>
      <c r="O159" s="687" t="s">
        <v>306</v>
      </c>
      <c r="P159" s="689"/>
      <c r="Q159" s="687" t="s">
        <v>307</v>
      </c>
      <c r="R159" s="689"/>
      <c r="S159" s="687" t="s">
        <v>8</v>
      </c>
      <c r="T159" s="689"/>
    </row>
    <row r="160" spans="1:20" ht="18" customHeight="1">
      <c r="A160" s="683"/>
      <c r="B160" s="686"/>
      <c r="C160" s="30" t="s">
        <v>105</v>
      </c>
      <c r="D160" s="30" t="s">
        <v>41</v>
      </c>
      <c r="E160" s="30" t="s">
        <v>105</v>
      </c>
      <c r="F160" s="30" t="s">
        <v>41</v>
      </c>
      <c r="G160" s="30" t="s">
        <v>105</v>
      </c>
      <c r="H160" s="30" t="s">
        <v>41</v>
      </c>
      <c r="I160" s="30" t="s">
        <v>105</v>
      </c>
      <c r="J160" s="30" t="s">
        <v>41</v>
      </c>
      <c r="K160" s="30" t="s">
        <v>105</v>
      </c>
      <c r="L160" s="30" t="s">
        <v>41</v>
      </c>
      <c r="M160" s="30" t="s">
        <v>105</v>
      </c>
      <c r="N160" s="30" t="s">
        <v>41</v>
      </c>
      <c r="O160" s="30" t="s">
        <v>105</v>
      </c>
      <c r="P160" s="30" t="s">
        <v>41</v>
      </c>
      <c r="Q160" s="30" t="s">
        <v>105</v>
      </c>
      <c r="R160" s="30" t="s">
        <v>41</v>
      </c>
      <c r="S160" s="30" t="s">
        <v>105</v>
      </c>
      <c r="T160" s="30" t="s">
        <v>41</v>
      </c>
    </row>
    <row r="161" spans="1:20" ht="18" customHeight="1">
      <c r="A161" s="30">
        <v>1</v>
      </c>
      <c r="B161" s="31" t="s">
        <v>450</v>
      </c>
      <c r="C161" s="32">
        <v>9</v>
      </c>
      <c r="D161" s="32">
        <v>3.87</v>
      </c>
      <c r="E161" s="32">
        <v>0</v>
      </c>
      <c r="F161" s="32">
        <v>0</v>
      </c>
      <c r="G161" s="32">
        <v>9</v>
      </c>
      <c r="H161" s="32">
        <v>3.87</v>
      </c>
      <c r="I161" s="32">
        <v>0</v>
      </c>
      <c r="J161" s="32">
        <v>0</v>
      </c>
      <c r="K161" s="32">
        <v>0</v>
      </c>
      <c r="L161" s="32">
        <v>0</v>
      </c>
      <c r="M161" s="32">
        <v>0</v>
      </c>
      <c r="N161" s="32">
        <v>0</v>
      </c>
      <c r="O161" s="32">
        <v>0</v>
      </c>
      <c r="P161" s="32">
        <v>0</v>
      </c>
      <c r="Q161" s="32">
        <v>0</v>
      </c>
      <c r="R161" s="32">
        <v>0</v>
      </c>
      <c r="S161" s="32">
        <v>0</v>
      </c>
      <c r="T161" s="32">
        <v>0</v>
      </c>
    </row>
    <row r="162" spans="1:20" ht="18" customHeight="1">
      <c r="A162" s="30">
        <v>2</v>
      </c>
      <c r="B162" s="31" t="s">
        <v>308</v>
      </c>
      <c r="C162" s="32">
        <v>0</v>
      </c>
      <c r="D162" s="32">
        <v>0</v>
      </c>
      <c r="E162" s="32">
        <v>0</v>
      </c>
      <c r="F162" s="32">
        <v>0</v>
      </c>
      <c r="G162" s="32">
        <v>0</v>
      </c>
      <c r="H162" s="32">
        <v>0</v>
      </c>
      <c r="I162" s="32">
        <v>163</v>
      </c>
      <c r="J162" s="32">
        <v>117.61</v>
      </c>
      <c r="K162" s="32">
        <v>0</v>
      </c>
      <c r="L162" s="32">
        <v>0</v>
      </c>
      <c r="M162" s="32">
        <v>163</v>
      </c>
      <c r="N162" s="32">
        <v>117.61</v>
      </c>
      <c r="O162" s="32">
        <v>0</v>
      </c>
      <c r="P162" s="32">
        <v>0</v>
      </c>
      <c r="Q162" s="32">
        <v>0</v>
      </c>
      <c r="R162" s="32">
        <v>0</v>
      </c>
      <c r="S162" s="32">
        <v>0</v>
      </c>
      <c r="T162" s="32">
        <v>0</v>
      </c>
    </row>
    <row r="163" spans="1:20" ht="18" customHeight="1">
      <c r="A163" s="30">
        <v>3</v>
      </c>
      <c r="B163" s="31" t="s">
        <v>310</v>
      </c>
      <c r="C163" s="32">
        <v>0</v>
      </c>
      <c r="D163" s="32">
        <v>0</v>
      </c>
      <c r="E163" s="32">
        <v>0</v>
      </c>
      <c r="F163" s="32">
        <v>0</v>
      </c>
      <c r="G163" s="32">
        <v>0</v>
      </c>
      <c r="H163" s="32">
        <v>0</v>
      </c>
      <c r="I163" s="32">
        <v>115</v>
      </c>
      <c r="J163" s="32">
        <v>72.28</v>
      </c>
      <c r="K163" s="32">
        <v>0</v>
      </c>
      <c r="L163" s="32">
        <v>0</v>
      </c>
      <c r="M163" s="32">
        <v>115</v>
      </c>
      <c r="N163" s="32">
        <v>72.28</v>
      </c>
      <c r="O163" s="32">
        <v>0</v>
      </c>
      <c r="P163" s="32">
        <v>0</v>
      </c>
      <c r="Q163" s="32">
        <v>0</v>
      </c>
      <c r="R163" s="32">
        <v>0</v>
      </c>
      <c r="S163" s="32">
        <v>0</v>
      </c>
      <c r="T163" s="32">
        <v>0</v>
      </c>
    </row>
    <row r="164" spans="1:20" ht="18" customHeight="1">
      <c r="A164" s="30">
        <v>4</v>
      </c>
      <c r="B164" s="31" t="s">
        <v>348</v>
      </c>
      <c r="C164" s="32">
        <v>0</v>
      </c>
      <c r="D164" s="32">
        <v>0</v>
      </c>
      <c r="E164" s="32">
        <v>0</v>
      </c>
      <c r="F164" s="32">
        <v>0</v>
      </c>
      <c r="G164" s="32">
        <v>0</v>
      </c>
      <c r="H164" s="32">
        <v>0</v>
      </c>
      <c r="I164" s="32">
        <v>48</v>
      </c>
      <c r="J164" s="32">
        <v>41</v>
      </c>
      <c r="K164" s="32">
        <v>0</v>
      </c>
      <c r="L164" s="32">
        <v>0</v>
      </c>
      <c r="M164" s="32">
        <v>48</v>
      </c>
      <c r="N164" s="32">
        <v>41</v>
      </c>
      <c r="O164" s="32">
        <v>0</v>
      </c>
      <c r="P164" s="32">
        <v>0</v>
      </c>
      <c r="Q164" s="32">
        <v>0</v>
      </c>
      <c r="R164" s="32">
        <v>0</v>
      </c>
      <c r="S164" s="32">
        <v>0</v>
      </c>
      <c r="T164" s="32">
        <v>0</v>
      </c>
    </row>
    <row r="165" spans="1:20" ht="18" customHeight="1">
      <c r="A165" s="30">
        <v>5</v>
      </c>
      <c r="B165" s="31" t="s">
        <v>312</v>
      </c>
      <c r="C165" s="32">
        <v>0</v>
      </c>
      <c r="D165" s="32">
        <v>0</v>
      </c>
      <c r="E165" s="32">
        <v>0</v>
      </c>
      <c r="F165" s="32">
        <v>0</v>
      </c>
      <c r="G165" s="32">
        <v>0</v>
      </c>
      <c r="H165" s="32">
        <v>0</v>
      </c>
      <c r="I165" s="32">
        <v>30</v>
      </c>
      <c r="J165" s="32">
        <v>23.56</v>
      </c>
      <c r="K165" s="32">
        <v>0</v>
      </c>
      <c r="L165" s="32">
        <v>0</v>
      </c>
      <c r="M165" s="32">
        <v>30</v>
      </c>
      <c r="N165" s="32">
        <v>23.56</v>
      </c>
      <c r="O165" s="32">
        <v>0</v>
      </c>
      <c r="P165" s="32">
        <v>0</v>
      </c>
      <c r="Q165" s="32">
        <v>0</v>
      </c>
      <c r="R165" s="32">
        <v>0</v>
      </c>
      <c r="S165" s="32">
        <v>0</v>
      </c>
      <c r="T165" s="32">
        <v>0</v>
      </c>
    </row>
    <row r="166" spans="1:20" ht="18" customHeight="1">
      <c r="A166" s="30">
        <v>6</v>
      </c>
      <c r="B166" s="31" t="s">
        <v>314</v>
      </c>
      <c r="C166" s="32">
        <v>0</v>
      </c>
      <c r="D166" s="32">
        <v>0</v>
      </c>
      <c r="E166" s="32">
        <v>0</v>
      </c>
      <c r="F166" s="32">
        <v>0</v>
      </c>
      <c r="G166" s="32">
        <v>0</v>
      </c>
      <c r="H166" s="32">
        <v>0</v>
      </c>
      <c r="I166" s="32">
        <v>129</v>
      </c>
      <c r="J166" s="32">
        <v>75.89</v>
      </c>
      <c r="K166" s="32">
        <v>3</v>
      </c>
      <c r="L166" s="32">
        <v>0.25</v>
      </c>
      <c r="M166" s="32">
        <v>132</v>
      </c>
      <c r="N166" s="32">
        <v>76.14</v>
      </c>
      <c r="O166" s="32">
        <v>0</v>
      </c>
      <c r="P166" s="32">
        <v>0</v>
      </c>
      <c r="Q166" s="32">
        <v>0</v>
      </c>
      <c r="R166" s="32">
        <v>0</v>
      </c>
      <c r="S166" s="32">
        <v>0</v>
      </c>
      <c r="T166" s="32">
        <v>0</v>
      </c>
    </row>
    <row r="167" spans="1:20" ht="18" customHeight="1">
      <c r="A167" s="30">
        <v>7</v>
      </c>
      <c r="B167" s="31" t="s">
        <v>315</v>
      </c>
      <c r="C167" s="32">
        <v>0</v>
      </c>
      <c r="D167" s="32">
        <v>0</v>
      </c>
      <c r="E167" s="32">
        <v>0</v>
      </c>
      <c r="F167" s="32">
        <v>0</v>
      </c>
      <c r="G167" s="32">
        <v>0</v>
      </c>
      <c r="H167" s="32">
        <v>0</v>
      </c>
      <c r="I167" s="32">
        <v>54</v>
      </c>
      <c r="J167" s="32">
        <v>40.75</v>
      </c>
      <c r="K167" s="32">
        <v>0</v>
      </c>
      <c r="L167" s="32">
        <v>0</v>
      </c>
      <c r="M167" s="32">
        <v>54</v>
      </c>
      <c r="N167" s="32">
        <v>40.75</v>
      </c>
      <c r="O167" s="32">
        <v>0</v>
      </c>
      <c r="P167" s="32">
        <v>0</v>
      </c>
      <c r="Q167" s="32">
        <v>0</v>
      </c>
      <c r="R167" s="32">
        <v>0</v>
      </c>
      <c r="S167" s="32">
        <v>0</v>
      </c>
      <c r="T167" s="32">
        <v>0</v>
      </c>
    </row>
    <row r="168" spans="1:20" ht="18" customHeight="1">
      <c r="A168" s="676" t="s">
        <v>8</v>
      </c>
      <c r="B168" s="677"/>
      <c r="C168" s="32">
        <v>9</v>
      </c>
      <c r="D168" s="32">
        <v>3.87</v>
      </c>
      <c r="E168" s="32">
        <v>0</v>
      </c>
      <c r="F168" s="32">
        <v>0</v>
      </c>
      <c r="G168" s="32">
        <v>9</v>
      </c>
      <c r="H168" s="32">
        <v>3.87</v>
      </c>
      <c r="I168" s="32">
        <v>539</v>
      </c>
      <c r="J168" s="32">
        <v>371.09</v>
      </c>
      <c r="K168" s="32">
        <v>3</v>
      </c>
      <c r="L168" s="32">
        <v>0.25</v>
      </c>
      <c r="M168" s="32">
        <v>542</v>
      </c>
      <c r="N168" s="32">
        <v>371.34</v>
      </c>
      <c r="O168" s="32">
        <v>0</v>
      </c>
      <c r="P168" s="32">
        <v>0</v>
      </c>
      <c r="Q168" s="32">
        <v>0</v>
      </c>
      <c r="R168" s="32">
        <v>0</v>
      </c>
      <c r="S168" s="32">
        <v>0</v>
      </c>
      <c r="T168" s="32">
        <v>0</v>
      </c>
    </row>
    <row r="171" spans="1:20" ht="18" customHeight="1">
      <c r="A171" s="690" t="s">
        <v>453</v>
      </c>
      <c r="B171" s="690"/>
    </row>
    <row r="172" spans="1:20" ht="18" customHeight="1">
      <c r="A172" s="692" t="s">
        <v>445</v>
      </c>
      <c r="B172" s="693"/>
      <c r="C172" s="693"/>
      <c r="D172" s="693"/>
      <c r="E172" s="693"/>
      <c r="F172" s="693"/>
      <c r="G172" s="693"/>
      <c r="H172" s="693"/>
      <c r="I172" s="693"/>
      <c r="J172" s="693"/>
      <c r="K172" s="693"/>
      <c r="L172" s="693"/>
      <c r="M172" s="693"/>
      <c r="N172" s="693"/>
      <c r="O172" s="693"/>
      <c r="P172" s="693"/>
      <c r="Q172" s="693"/>
      <c r="R172" s="693"/>
      <c r="S172" s="693"/>
      <c r="T172" s="694"/>
    </row>
    <row r="173" spans="1:20" ht="18" customHeight="1">
      <c r="A173" s="678" t="s">
        <v>446</v>
      </c>
      <c r="B173" s="679"/>
      <c r="C173" s="679"/>
      <c r="D173" s="679"/>
      <c r="E173" s="679"/>
      <c r="F173" s="679"/>
      <c r="G173" s="679"/>
      <c r="H173" s="679"/>
      <c r="I173" s="679"/>
      <c r="J173" s="679"/>
      <c r="K173" s="679"/>
      <c r="L173" s="679"/>
      <c r="M173" s="679"/>
      <c r="N173" s="679"/>
      <c r="O173" s="679"/>
      <c r="P173" s="679"/>
      <c r="Q173" s="679"/>
      <c r="R173" s="679"/>
      <c r="S173" s="679"/>
      <c r="T173" s="680"/>
    </row>
    <row r="174" spans="1:20" ht="18" customHeight="1">
      <c r="A174" s="678" t="s">
        <v>349</v>
      </c>
      <c r="B174" s="679"/>
      <c r="C174" s="679"/>
      <c r="D174" s="679"/>
      <c r="E174" s="679"/>
      <c r="F174" s="679"/>
      <c r="G174" s="679"/>
      <c r="H174" s="679"/>
      <c r="I174" s="679"/>
      <c r="J174" s="679"/>
      <c r="K174" s="679"/>
      <c r="L174" s="679"/>
      <c r="M174" s="679"/>
      <c r="N174" s="679"/>
      <c r="O174" s="679"/>
      <c r="P174" s="679"/>
      <c r="Q174" s="679"/>
      <c r="R174" s="679"/>
      <c r="S174" s="679"/>
      <c r="T174" s="680"/>
    </row>
    <row r="175" spans="1:20" ht="18" customHeight="1">
      <c r="A175" s="681" t="s">
        <v>301</v>
      </c>
      <c r="B175" s="684" t="s">
        <v>302</v>
      </c>
      <c r="C175" s="687" t="s">
        <v>303</v>
      </c>
      <c r="D175" s="688"/>
      <c r="E175" s="688"/>
      <c r="F175" s="688"/>
      <c r="G175" s="688"/>
      <c r="H175" s="689"/>
      <c r="I175" s="687" t="s">
        <v>304</v>
      </c>
      <c r="J175" s="688"/>
      <c r="K175" s="688"/>
      <c r="L175" s="688"/>
      <c r="M175" s="688"/>
      <c r="N175" s="689"/>
      <c r="O175" s="687" t="s">
        <v>305</v>
      </c>
      <c r="P175" s="688"/>
      <c r="Q175" s="688"/>
      <c r="R175" s="688"/>
      <c r="S175" s="688"/>
      <c r="T175" s="689"/>
    </row>
    <row r="176" spans="1:20" ht="18" customHeight="1">
      <c r="A176" s="682"/>
      <c r="B176" s="685"/>
      <c r="C176" s="687" t="s">
        <v>306</v>
      </c>
      <c r="D176" s="689"/>
      <c r="E176" s="687" t="s">
        <v>307</v>
      </c>
      <c r="F176" s="689"/>
      <c r="G176" s="687" t="s">
        <v>8</v>
      </c>
      <c r="H176" s="689"/>
      <c r="I176" s="687" t="s">
        <v>306</v>
      </c>
      <c r="J176" s="689"/>
      <c r="K176" s="687" t="s">
        <v>307</v>
      </c>
      <c r="L176" s="689"/>
      <c r="M176" s="687" t="s">
        <v>8</v>
      </c>
      <c r="N176" s="689"/>
      <c r="O176" s="687" t="s">
        <v>306</v>
      </c>
      <c r="P176" s="689"/>
      <c r="Q176" s="687" t="s">
        <v>307</v>
      </c>
      <c r="R176" s="689"/>
      <c r="S176" s="687" t="s">
        <v>8</v>
      </c>
      <c r="T176" s="689"/>
    </row>
    <row r="177" spans="1:20" ht="18" customHeight="1">
      <c r="A177" s="683"/>
      <c r="B177" s="686"/>
      <c r="C177" s="30" t="s">
        <v>105</v>
      </c>
      <c r="D177" s="30" t="s">
        <v>41</v>
      </c>
      <c r="E177" s="30" t="s">
        <v>105</v>
      </c>
      <c r="F177" s="30" t="s">
        <v>41</v>
      </c>
      <c r="G177" s="30" t="s">
        <v>105</v>
      </c>
      <c r="H177" s="30" t="s">
        <v>41</v>
      </c>
      <c r="I177" s="30" t="s">
        <v>105</v>
      </c>
      <c r="J177" s="30" t="s">
        <v>41</v>
      </c>
      <c r="K177" s="30" t="s">
        <v>105</v>
      </c>
      <c r="L177" s="30" t="s">
        <v>41</v>
      </c>
      <c r="M177" s="30" t="s">
        <v>105</v>
      </c>
      <c r="N177" s="30" t="s">
        <v>41</v>
      </c>
      <c r="O177" s="30" t="s">
        <v>105</v>
      </c>
      <c r="P177" s="30" t="s">
        <v>41</v>
      </c>
      <c r="Q177" s="30" t="s">
        <v>105</v>
      </c>
      <c r="R177" s="30" t="s">
        <v>41</v>
      </c>
      <c r="S177" s="30" t="s">
        <v>105</v>
      </c>
      <c r="T177" s="30" t="s">
        <v>41</v>
      </c>
    </row>
    <row r="178" spans="1:20" ht="18" customHeight="1">
      <c r="A178" s="30">
        <v>1</v>
      </c>
      <c r="B178" s="31" t="s">
        <v>310</v>
      </c>
      <c r="C178" s="32">
        <v>0</v>
      </c>
      <c r="D178" s="32">
        <v>0</v>
      </c>
      <c r="E178" s="32">
        <v>0</v>
      </c>
      <c r="F178" s="32">
        <v>0</v>
      </c>
      <c r="G178" s="32">
        <v>0</v>
      </c>
      <c r="H178" s="32">
        <v>0</v>
      </c>
      <c r="I178" s="32">
        <v>433</v>
      </c>
      <c r="J178" s="32">
        <v>322.72000000000003</v>
      </c>
      <c r="K178" s="32">
        <v>0</v>
      </c>
      <c r="L178" s="32">
        <v>0</v>
      </c>
      <c r="M178" s="32">
        <v>433</v>
      </c>
      <c r="N178" s="32">
        <v>322.72000000000003</v>
      </c>
      <c r="O178" s="32">
        <v>0</v>
      </c>
      <c r="P178" s="32">
        <v>0</v>
      </c>
      <c r="Q178" s="32">
        <v>0</v>
      </c>
      <c r="R178" s="32">
        <v>0</v>
      </c>
      <c r="S178" s="32">
        <v>0</v>
      </c>
      <c r="T178" s="32">
        <v>0</v>
      </c>
    </row>
    <row r="179" spans="1:20" ht="18" customHeight="1">
      <c r="A179" s="30">
        <v>2</v>
      </c>
      <c r="B179" s="31" t="s">
        <v>318</v>
      </c>
      <c r="C179" s="32">
        <v>0</v>
      </c>
      <c r="D179" s="32">
        <v>0</v>
      </c>
      <c r="E179" s="32">
        <v>0</v>
      </c>
      <c r="F179" s="32">
        <v>0</v>
      </c>
      <c r="G179" s="32">
        <v>0</v>
      </c>
      <c r="H179" s="32">
        <v>0</v>
      </c>
      <c r="I179" s="32">
        <v>36</v>
      </c>
      <c r="J179" s="32">
        <v>29.39</v>
      </c>
      <c r="K179" s="32">
        <v>0</v>
      </c>
      <c r="L179" s="32">
        <v>0</v>
      </c>
      <c r="M179" s="32">
        <v>36</v>
      </c>
      <c r="N179" s="32">
        <v>29.39</v>
      </c>
      <c r="O179" s="32">
        <v>0</v>
      </c>
      <c r="P179" s="32">
        <v>0</v>
      </c>
      <c r="Q179" s="32">
        <v>0</v>
      </c>
      <c r="R179" s="32">
        <v>0</v>
      </c>
      <c r="S179" s="32">
        <v>0</v>
      </c>
      <c r="T179" s="32">
        <v>0</v>
      </c>
    </row>
    <row r="180" spans="1:20" ht="18" customHeight="1">
      <c r="A180" s="30">
        <v>3</v>
      </c>
      <c r="B180" s="31" t="s">
        <v>348</v>
      </c>
      <c r="C180" s="32">
        <v>0</v>
      </c>
      <c r="D180" s="32">
        <v>0</v>
      </c>
      <c r="E180" s="32">
        <v>0</v>
      </c>
      <c r="F180" s="32">
        <v>0</v>
      </c>
      <c r="G180" s="32">
        <v>0</v>
      </c>
      <c r="H180" s="32">
        <v>0</v>
      </c>
      <c r="I180" s="32">
        <v>524</v>
      </c>
      <c r="J180" s="32">
        <v>414.36</v>
      </c>
      <c r="K180" s="32">
        <v>0</v>
      </c>
      <c r="L180" s="32">
        <v>0</v>
      </c>
      <c r="M180" s="32">
        <v>524</v>
      </c>
      <c r="N180" s="32">
        <v>414.36</v>
      </c>
      <c r="O180" s="32">
        <v>0</v>
      </c>
      <c r="P180" s="32">
        <v>0</v>
      </c>
      <c r="Q180" s="32">
        <v>0</v>
      </c>
      <c r="R180" s="32">
        <v>0</v>
      </c>
      <c r="S180" s="32">
        <v>0</v>
      </c>
      <c r="T180" s="32">
        <v>0</v>
      </c>
    </row>
    <row r="181" spans="1:20" ht="18" customHeight="1">
      <c r="A181" s="30">
        <v>4</v>
      </c>
      <c r="B181" s="31" t="s">
        <v>319</v>
      </c>
      <c r="C181" s="32">
        <v>0</v>
      </c>
      <c r="D181" s="32">
        <v>0</v>
      </c>
      <c r="E181" s="32">
        <v>0</v>
      </c>
      <c r="F181" s="32">
        <v>0</v>
      </c>
      <c r="G181" s="32">
        <v>0</v>
      </c>
      <c r="H181" s="32">
        <v>0</v>
      </c>
      <c r="I181" s="32">
        <v>128</v>
      </c>
      <c r="J181" s="32">
        <v>95.92</v>
      </c>
      <c r="K181" s="32">
        <v>0</v>
      </c>
      <c r="L181" s="32">
        <v>0</v>
      </c>
      <c r="M181" s="32">
        <v>128</v>
      </c>
      <c r="N181" s="32">
        <v>95.92</v>
      </c>
      <c r="O181" s="32">
        <v>0</v>
      </c>
      <c r="P181" s="32">
        <v>0</v>
      </c>
      <c r="Q181" s="32">
        <v>0</v>
      </c>
      <c r="R181" s="32">
        <v>0</v>
      </c>
      <c r="S181" s="32">
        <v>0</v>
      </c>
      <c r="T181" s="32">
        <v>0</v>
      </c>
    </row>
    <row r="182" spans="1:20" ht="18" customHeight="1">
      <c r="A182" s="676" t="s">
        <v>8</v>
      </c>
      <c r="B182" s="677"/>
      <c r="C182" s="32">
        <v>0</v>
      </c>
      <c r="D182" s="32">
        <v>0</v>
      </c>
      <c r="E182" s="32">
        <v>0</v>
      </c>
      <c r="F182" s="32">
        <v>0</v>
      </c>
      <c r="G182" s="32">
        <v>0</v>
      </c>
      <c r="H182" s="32">
        <v>0</v>
      </c>
      <c r="I182" s="32">
        <v>1121</v>
      </c>
      <c r="J182" s="32">
        <v>862.39</v>
      </c>
      <c r="K182" s="32">
        <v>0</v>
      </c>
      <c r="L182" s="32">
        <v>0</v>
      </c>
      <c r="M182" s="32">
        <v>1121</v>
      </c>
      <c r="N182" s="32">
        <v>862.39</v>
      </c>
      <c r="O182" s="32">
        <v>0</v>
      </c>
      <c r="P182" s="32">
        <v>0</v>
      </c>
      <c r="Q182" s="32">
        <v>0</v>
      </c>
      <c r="R182" s="32">
        <v>0</v>
      </c>
      <c r="S182" s="32">
        <v>0</v>
      </c>
      <c r="T182" s="32">
        <v>0</v>
      </c>
    </row>
    <row r="183" spans="1:20" ht="18" customHeight="1">
      <c r="A183" s="678" t="s">
        <v>446</v>
      </c>
      <c r="B183" s="679"/>
      <c r="C183" s="679"/>
      <c r="D183" s="679"/>
      <c r="E183" s="679"/>
      <c r="F183" s="679"/>
      <c r="G183" s="679"/>
      <c r="H183" s="679"/>
      <c r="I183" s="679"/>
      <c r="J183" s="679"/>
      <c r="K183" s="679"/>
      <c r="L183" s="679"/>
      <c r="M183" s="679"/>
      <c r="N183" s="679"/>
      <c r="O183" s="679"/>
      <c r="P183" s="679"/>
      <c r="Q183" s="679"/>
      <c r="R183" s="679"/>
      <c r="S183" s="679"/>
      <c r="T183" s="680"/>
    </row>
    <row r="184" spans="1:20" ht="18" customHeight="1">
      <c r="A184" s="678" t="s">
        <v>350</v>
      </c>
      <c r="B184" s="679"/>
      <c r="C184" s="679"/>
      <c r="D184" s="679"/>
      <c r="E184" s="679"/>
      <c r="F184" s="679"/>
      <c r="G184" s="679"/>
      <c r="H184" s="679"/>
      <c r="I184" s="679"/>
      <c r="J184" s="679"/>
      <c r="K184" s="679"/>
      <c r="L184" s="679"/>
      <c r="M184" s="679"/>
      <c r="N184" s="679"/>
      <c r="O184" s="679"/>
      <c r="P184" s="679"/>
      <c r="Q184" s="679"/>
      <c r="R184" s="679"/>
      <c r="S184" s="679"/>
      <c r="T184" s="680"/>
    </row>
    <row r="185" spans="1:20" ht="18" customHeight="1">
      <c r="A185" s="681" t="s">
        <v>301</v>
      </c>
      <c r="B185" s="684" t="s">
        <v>302</v>
      </c>
      <c r="C185" s="687" t="s">
        <v>303</v>
      </c>
      <c r="D185" s="688"/>
      <c r="E185" s="688"/>
      <c r="F185" s="688"/>
      <c r="G185" s="688"/>
      <c r="H185" s="689"/>
      <c r="I185" s="687" t="s">
        <v>304</v>
      </c>
      <c r="J185" s="688"/>
      <c r="K185" s="688"/>
      <c r="L185" s="688"/>
      <c r="M185" s="688"/>
      <c r="N185" s="689"/>
      <c r="O185" s="687" t="s">
        <v>305</v>
      </c>
      <c r="P185" s="688"/>
      <c r="Q185" s="688"/>
      <c r="R185" s="688"/>
      <c r="S185" s="688"/>
      <c r="T185" s="689"/>
    </row>
    <row r="186" spans="1:20" ht="18" customHeight="1">
      <c r="A186" s="682"/>
      <c r="B186" s="685"/>
      <c r="C186" s="687" t="s">
        <v>306</v>
      </c>
      <c r="D186" s="689"/>
      <c r="E186" s="687" t="s">
        <v>307</v>
      </c>
      <c r="F186" s="689"/>
      <c r="G186" s="687" t="s">
        <v>8</v>
      </c>
      <c r="H186" s="689"/>
      <c r="I186" s="687" t="s">
        <v>306</v>
      </c>
      <c r="J186" s="689"/>
      <c r="K186" s="687" t="s">
        <v>307</v>
      </c>
      <c r="L186" s="689"/>
      <c r="M186" s="687" t="s">
        <v>8</v>
      </c>
      <c r="N186" s="689"/>
      <c r="O186" s="687" t="s">
        <v>306</v>
      </c>
      <c r="P186" s="689"/>
      <c r="Q186" s="687" t="s">
        <v>307</v>
      </c>
      <c r="R186" s="689"/>
      <c r="S186" s="687" t="s">
        <v>8</v>
      </c>
      <c r="T186" s="689"/>
    </row>
    <row r="187" spans="1:20" ht="18" customHeight="1">
      <c r="A187" s="683"/>
      <c r="B187" s="686"/>
      <c r="C187" s="30" t="s">
        <v>105</v>
      </c>
      <c r="D187" s="30" t="s">
        <v>41</v>
      </c>
      <c r="E187" s="30" t="s">
        <v>105</v>
      </c>
      <c r="F187" s="30" t="s">
        <v>41</v>
      </c>
      <c r="G187" s="30" t="s">
        <v>105</v>
      </c>
      <c r="H187" s="30" t="s">
        <v>41</v>
      </c>
      <c r="I187" s="30" t="s">
        <v>105</v>
      </c>
      <c r="J187" s="30" t="s">
        <v>41</v>
      </c>
      <c r="K187" s="30" t="s">
        <v>105</v>
      </c>
      <c r="L187" s="30" t="s">
        <v>41</v>
      </c>
      <c r="M187" s="30" t="s">
        <v>105</v>
      </c>
      <c r="N187" s="30" t="s">
        <v>41</v>
      </c>
      <c r="O187" s="30" t="s">
        <v>105</v>
      </c>
      <c r="P187" s="30" t="s">
        <v>41</v>
      </c>
      <c r="Q187" s="30" t="s">
        <v>105</v>
      </c>
      <c r="R187" s="30" t="s">
        <v>41</v>
      </c>
      <c r="S187" s="30" t="s">
        <v>105</v>
      </c>
      <c r="T187" s="30" t="s">
        <v>41</v>
      </c>
    </row>
    <row r="188" spans="1:20" ht="18" customHeight="1">
      <c r="A188" s="30">
        <v>1</v>
      </c>
      <c r="B188" s="31" t="s">
        <v>351</v>
      </c>
      <c r="C188" s="32">
        <v>0</v>
      </c>
      <c r="D188" s="32">
        <v>0</v>
      </c>
      <c r="E188" s="32">
        <v>0</v>
      </c>
      <c r="F188" s="32">
        <v>0</v>
      </c>
      <c r="G188" s="32">
        <v>0</v>
      </c>
      <c r="H188" s="32">
        <v>0</v>
      </c>
      <c r="I188" s="32">
        <v>0</v>
      </c>
      <c r="J188" s="32">
        <v>0</v>
      </c>
      <c r="K188" s="32">
        <v>0</v>
      </c>
      <c r="L188" s="32">
        <v>0</v>
      </c>
      <c r="M188" s="32">
        <v>0</v>
      </c>
      <c r="N188" s="32">
        <v>0</v>
      </c>
      <c r="O188" s="32">
        <v>6</v>
      </c>
      <c r="P188" s="32">
        <v>2.5</v>
      </c>
      <c r="Q188" s="32">
        <v>0</v>
      </c>
      <c r="R188" s="32">
        <v>0</v>
      </c>
      <c r="S188" s="32">
        <v>6</v>
      </c>
      <c r="T188" s="32">
        <v>2.5</v>
      </c>
    </row>
    <row r="189" spans="1:20" ht="18" customHeight="1">
      <c r="A189" s="30">
        <v>2</v>
      </c>
      <c r="B189" s="31" t="s">
        <v>452</v>
      </c>
      <c r="C189" s="32">
        <v>0</v>
      </c>
      <c r="D189" s="32">
        <v>0</v>
      </c>
      <c r="E189" s="32">
        <v>0</v>
      </c>
      <c r="F189" s="32">
        <v>0</v>
      </c>
      <c r="G189" s="32">
        <v>0</v>
      </c>
      <c r="H189" s="32">
        <v>0</v>
      </c>
      <c r="I189" s="32">
        <v>15</v>
      </c>
      <c r="J189" s="32">
        <v>9.06</v>
      </c>
      <c r="K189" s="32">
        <v>0</v>
      </c>
      <c r="L189" s="32">
        <v>0</v>
      </c>
      <c r="M189" s="32">
        <v>15</v>
      </c>
      <c r="N189" s="32">
        <v>9.06</v>
      </c>
      <c r="O189" s="32">
        <v>0</v>
      </c>
      <c r="P189" s="32">
        <v>0</v>
      </c>
      <c r="Q189" s="32">
        <v>0</v>
      </c>
      <c r="R189" s="32">
        <v>0</v>
      </c>
      <c r="S189" s="32">
        <v>0</v>
      </c>
      <c r="T189" s="32">
        <v>0</v>
      </c>
    </row>
    <row r="190" spans="1:20" ht="18" customHeight="1">
      <c r="A190" s="30">
        <v>3</v>
      </c>
      <c r="B190" s="31" t="s">
        <v>352</v>
      </c>
      <c r="C190" s="32">
        <v>0</v>
      </c>
      <c r="D190" s="32">
        <v>0</v>
      </c>
      <c r="E190" s="32">
        <v>0</v>
      </c>
      <c r="F190" s="32">
        <v>0</v>
      </c>
      <c r="G190" s="32">
        <v>0</v>
      </c>
      <c r="H190" s="32">
        <v>0</v>
      </c>
      <c r="I190" s="32">
        <v>43</v>
      </c>
      <c r="J190" s="32">
        <v>35.69</v>
      </c>
      <c r="K190" s="32">
        <v>0</v>
      </c>
      <c r="L190" s="32">
        <v>0</v>
      </c>
      <c r="M190" s="32">
        <v>43</v>
      </c>
      <c r="N190" s="32">
        <v>35.69</v>
      </c>
      <c r="O190" s="32">
        <v>0</v>
      </c>
      <c r="P190" s="32">
        <v>0</v>
      </c>
      <c r="Q190" s="32">
        <v>0</v>
      </c>
      <c r="R190" s="32">
        <v>0</v>
      </c>
      <c r="S190" s="32">
        <v>0</v>
      </c>
      <c r="T190" s="32">
        <v>0</v>
      </c>
    </row>
    <row r="191" spans="1:20" ht="18" customHeight="1">
      <c r="A191" s="30">
        <v>4</v>
      </c>
      <c r="B191" s="31" t="s">
        <v>353</v>
      </c>
      <c r="C191" s="32">
        <v>0</v>
      </c>
      <c r="D191" s="32">
        <v>0</v>
      </c>
      <c r="E191" s="32">
        <v>0</v>
      </c>
      <c r="F191" s="32">
        <v>0</v>
      </c>
      <c r="G191" s="32">
        <v>0</v>
      </c>
      <c r="H191" s="32">
        <v>0</v>
      </c>
      <c r="I191" s="32">
        <v>63</v>
      </c>
      <c r="J191" s="32">
        <v>52.25</v>
      </c>
      <c r="K191" s="32">
        <v>0</v>
      </c>
      <c r="L191" s="32">
        <v>0</v>
      </c>
      <c r="M191" s="32">
        <v>63</v>
      </c>
      <c r="N191" s="32">
        <v>52.25</v>
      </c>
      <c r="O191" s="32">
        <v>0</v>
      </c>
      <c r="P191" s="32">
        <v>0</v>
      </c>
      <c r="Q191" s="32">
        <v>0</v>
      </c>
      <c r="R191" s="32">
        <v>0</v>
      </c>
      <c r="S191" s="32">
        <v>0</v>
      </c>
      <c r="T191" s="32">
        <v>0</v>
      </c>
    </row>
    <row r="192" spans="1:20" ht="18" customHeight="1">
      <c r="A192" s="30">
        <v>5</v>
      </c>
      <c r="B192" s="31" t="s">
        <v>354</v>
      </c>
      <c r="C192" s="32">
        <v>0</v>
      </c>
      <c r="D192" s="32">
        <v>0</v>
      </c>
      <c r="E192" s="32">
        <v>0</v>
      </c>
      <c r="F192" s="32">
        <v>0</v>
      </c>
      <c r="G192" s="32">
        <v>0</v>
      </c>
      <c r="H192" s="32">
        <v>0</v>
      </c>
      <c r="I192" s="32">
        <v>84</v>
      </c>
      <c r="J192" s="32">
        <v>76.92</v>
      </c>
      <c r="K192" s="32">
        <v>0</v>
      </c>
      <c r="L192" s="32">
        <v>0</v>
      </c>
      <c r="M192" s="32">
        <v>84</v>
      </c>
      <c r="N192" s="32">
        <v>76.92</v>
      </c>
      <c r="O192" s="32">
        <v>0</v>
      </c>
      <c r="P192" s="32">
        <v>0</v>
      </c>
      <c r="Q192" s="32">
        <v>0</v>
      </c>
      <c r="R192" s="32">
        <v>0</v>
      </c>
      <c r="S192" s="32">
        <v>0</v>
      </c>
      <c r="T192" s="32">
        <v>0</v>
      </c>
    </row>
    <row r="193" spans="1:20" ht="18" customHeight="1">
      <c r="A193" s="30">
        <v>6</v>
      </c>
      <c r="B193" s="31" t="s">
        <v>355</v>
      </c>
      <c r="C193" s="32">
        <v>0</v>
      </c>
      <c r="D193" s="32">
        <v>0</v>
      </c>
      <c r="E193" s="32">
        <v>0</v>
      </c>
      <c r="F193" s="32">
        <v>0</v>
      </c>
      <c r="G193" s="32">
        <v>0</v>
      </c>
      <c r="H193" s="32">
        <v>0</v>
      </c>
      <c r="I193" s="32">
        <v>31</v>
      </c>
      <c r="J193" s="32">
        <v>21.33</v>
      </c>
      <c r="K193" s="32">
        <v>0</v>
      </c>
      <c r="L193" s="32">
        <v>0</v>
      </c>
      <c r="M193" s="32">
        <v>31</v>
      </c>
      <c r="N193" s="32">
        <v>21.33</v>
      </c>
      <c r="O193" s="32">
        <v>0</v>
      </c>
      <c r="P193" s="32">
        <v>0</v>
      </c>
      <c r="Q193" s="32">
        <v>0</v>
      </c>
      <c r="R193" s="32">
        <v>0</v>
      </c>
      <c r="S193" s="32">
        <v>0</v>
      </c>
      <c r="T193" s="32">
        <v>0</v>
      </c>
    </row>
    <row r="194" spans="1:20" ht="18" customHeight="1">
      <c r="A194" s="30">
        <v>7</v>
      </c>
      <c r="B194" s="31" t="s">
        <v>356</v>
      </c>
      <c r="C194" s="32">
        <v>0</v>
      </c>
      <c r="D194" s="32">
        <v>0</v>
      </c>
      <c r="E194" s="32">
        <v>0</v>
      </c>
      <c r="F194" s="32">
        <v>0</v>
      </c>
      <c r="G194" s="32">
        <v>0</v>
      </c>
      <c r="H194" s="32">
        <v>0</v>
      </c>
      <c r="I194" s="32">
        <v>47</v>
      </c>
      <c r="J194" s="32">
        <v>35.03</v>
      </c>
      <c r="K194" s="32">
        <v>0</v>
      </c>
      <c r="L194" s="32">
        <v>0</v>
      </c>
      <c r="M194" s="32">
        <v>47</v>
      </c>
      <c r="N194" s="32">
        <v>35.03</v>
      </c>
      <c r="O194" s="32">
        <v>0</v>
      </c>
      <c r="P194" s="32">
        <v>0</v>
      </c>
      <c r="Q194" s="32">
        <v>0</v>
      </c>
      <c r="R194" s="32">
        <v>0</v>
      </c>
      <c r="S194" s="32">
        <v>0</v>
      </c>
      <c r="T194" s="32">
        <v>0</v>
      </c>
    </row>
    <row r="195" spans="1:20" ht="18" customHeight="1">
      <c r="A195" s="30">
        <v>8</v>
      </c>
      <c r="B195" s="31" t="s">
        <v>357</v>
      </c>
      <c r="C195" s="32">
        <v>0</v>
      </c>
      <c r="D195" s="32">
        <v>0</v>
      </c>
      <c r="E195" s="32">
        <v>0</v>
      </c>
      <c r="F195" s="32">
        <v>0</v>
      </c>
      <c r="G195" s="32">
        <v>0</v>
      </c>
      <c r="H195" s="32">
        <v>0</v>
      </c>
      <c r="I195" s="32">
        <v>82</v>
      </c>
      <c r="J195" s="32">
        <v>56.03</v>
      </c>
      <c r="K195" s="32">
        <v>0</v>
      </c>
      <c r="L195" s="32">
        <v>0</v>
      </c>
      <c r="M195" s="32">
        <v>82</v>
      </c>
      <c r="N195" s="32">
        <v>56.03</v>
      </c>
      <c r="O195" s="32">
        <v>0</v>
      </c>
      <c r="P195" s="32">
        <v>0</v>
      </c>
      <c r="Q195" s="32">
        <v>0</v>
      </c>
      <c r="R195" s="32">
        <v>0</v>
      </c>
      <c r="S195" s="32">
        <v>0</v>
      </c>
      <c r="T195" s="32">
        <v>0</v>
      </c>
    </row>
    <row r="196" spans="1:20" ht="18" customHeight="1">
      <c r="A196" s="30">
        <v>9</v>
      </c>
      <c r="B196" s="31" t="s">
        <v>313</v>
      </c>
      <c r="C196" s="32">
        <v>0</v>
      </c>
      <c r="D196" s="32">
        <v>0</v>
      </c>
      <c r="E196" s="32">
        <v>0</v>
      </c>
      <c r="F196" s="32">
        <v>0</v>
      </c>
      <c r="G196" s="32">
        <v>0</v>
      </c>
      <c r="H196" s="32">
        <v>0</v>
      </c>
      <c r="I196" s="32">
        <v>42</v>
      </c>
      <c r="J196" s="32">
        <v>35</v>
      </c>
      <c r="K196" s="32">
        <v>0</v>
      </c>
      <c r="L196" s="32">
        <v>0</v>
      </c>
      <c r="M196" s="32">
        <v>42</v>
      </c>
      <c r="N196" s="323">
        <v>35</v>
      </c>
      <c r="O196" s="32">
        <v>0</v>
      </c>
      <c r="P196" s="32">
        <v>0</v>
      </c>
      <c r="Q196" s="32">
        <v>0</v>
      </c>
      <c r="R196" s="32">
        <v>0</v>
      </c>
      <c r="S196" s="32">
        <v>0</v>
      </c>
      <c r="T196" s="32">
        <v>0</v>
      </c>
    </row>
    <row r="197" spans="1:20" ht="18" customHeight="1">
      <c r="A197" s="30">
        <v>10</v>
      </c>
      <c r="B197" s="31" t="s">
        <v>358</v>
      </c>
      <c r="C197" s="32">
        <v>0</v>
      </c>
      <c r="D197" s="32">
        <v>0</v>
      </c>
      <c r="E197" s="32">
        <v>0</v>
      </c>
      <c r="F197" s="32">
        <v>0</v>
      </c>
      <c r="G197" s="32">
        <v>0</v>
      </c>
      <c r="H197" s="32">
        <v>0</v>
      </c>
      <c r="I197" s="32">
        <v>66</v>
      </c>
      <c r="J197" s="32">
        <v>49.83</v>
      </c>
      <c r="K197" s="32">
        <v>0</v>
      </c>
      <c r="L197" s="32">
        <v>0</v>
      </c>
      <c r="M197" s="32">
        <v>66</v>
      </c>
      <c r="N197" s="32">
        <v>49.83</v>
      </c>
      <c r="O197" s="32">
        <v>0</v>
      </c>
      <c r="P197" s="32">
        <v>0</v>
      </c>
      <c r="Q197" s="32">
        <v>0</v>
      </c>
      <c r="R197" s="32">
        <v>0</v>
      </c>
      <c r="S197" s="32">
        <v>0</v>
      </c>
      <c r="T197" s="32">
        <v>0</v>
      </c>
    </row>
    <row r="198" spans="1:20" ht="18" customHeight="1">
      <c r="A198" s="30">
        <v>11</v>
      </c>
      <c r="B198" s="31" t="s">
        <v>328</v>
      </c>
      <c r="C198" s="32">
        <v>0</v>
      </c>
      <c r="D198" s="32">
        <v>0</v>
      </c>
      <c r="E198" s="32">
        <v>0</v>
      </c>
      <c r="F198" s="32">
        <v>0</v>
      </c>
      <c r="G198" s="32">
        <v>0</v>
      </c>
      <c r="H198" s="32">
        <v>0</v>
      </c>
      <c r="I198" s="32">
        <v>5</v>
      </c>
      <c r="J198" s="32">
        <v>3.19</v>
      </c>
      <c r="K198" s="32">
        <v>0</v>
      </c>
      <c r="L198" s="32">
        <v>0</v>
      </c>
      <c r="M198" s="32">
        <v>5</v>
      </c>
      <c r="N198" s="32">
        <v>3.19</v>
      </c>
      <c r="O198" s="32">
        <v>0</v>
      </c>
      <c r="P198" s="32">
        <v>0</v>
      </c>
      <c r="Q198" s="32">
        <v>0</v>
      </c>
      <c r="R198" s="32">
        <v>0</v>
      </c>
      <c r="S198" s="32">
        <v>0</v>
      </c>
      <c r="T198" s="32">
        <v>0</v>
      </c>
    </row>
    <row r="199" spans="1:20" ht="18" customHeight="1">
      <c r="A199" s="30">
        <v>12</v>
      </c>
      <c r="B199" s="31" t="s">
        <v>359</v>
      </c>
      <c r="C199" s="32">
        <v>0</v>
      </c>
      <c r="D199" s="32">
        <v>0</v>
      </c>
      <c r="E199" s="32">
        <v>0</v>
      </c>
      <c r="F199" s="32">
        <v>0</v>
      </c>
      <c r="G199" s="32">
        <v>0</v>
      </c>
      <c r="H199" s="32">
        <v>0</v>
      </c>
      <c r="I199" s="32">
        <v>0</v>
      </c>
      <c r="J199" s="32">
        <v>0</v>
      </c>
      <c r="K199" s="32">
        <v>0</v>
      </c>
      <c r="L199" s="32">
        <v>0</v>
      </c>
      <c r="M199" s="32">
        <v>0</v>
      </c>
      <c r="N199" s="32">
        <v>0</v>
      </c>
      <c r="O199" s="32">
        <v>4</v>
      </c>
      <c r="P199" s="32">
        <v>1.1599999999999999</v>
      </c>
      <c r="Q199" s="32">
        <v>0</v>
      </c>
      <c r="R199" s="32">
        <v>0</v>
      </c>
      <c r="S199" s="32">
        <v>4</v>
      </c>
      <c r="T199" s="32">
        <v>1.1599999999999999</v>
      </c>
    </row>
    <row r="200" spans="1:20" ht="18" customHeight="1">
      <c r="A200" s="30">
        <v>13</v>
      </c>
      <c r="B200" s="31" t="s">
        <v>360</v>
      </c>
      <c r="C200" s="32">
        <v>0</v>
      </c>
      <c r="D200" s="32">
        <v>0</v>
      </c>
      <c r="E200" s="32">
        <v>0</v>
      </c>
      <c r="F200" s="32">
        <v>0</v>
      </c>
      <c r="G200" s="32">
        <v>0</v>
      </c>
      <c r="H200" s="32">
        <v>0</v>
      </c>
      <c r="I200" s="32">
        <v>0</v>
      </c>
      <c r="J200" s="32">
        <v>0</v>
      </c>
      <c r="K200" s="32">
        <v>0</v>
      </c>
      <c r="L200" s="32">
        <v>0</v>
      </c>
      <c r="M200" s="32">
        <v>0</v>
      </c>
      <c r="N200" s="32">
        <v>0</v>
      </c>
      <c r="O200" s="32">
        <v>4</v>
      </c>
      <c r="P200" s="32">
        <v>0.84</v>
      </c>
      <c r="Q200" s="32">
        <v>0</v>
      </c>
      <c r="R200" s="32">
        <v>0</v>
      </c>
      <c r="S200" s="32">
        <v>4</v>
      </c>
      <c r="T200" s="32">
        <v>0.84</v>
      </c>
    </row>
    <row r="201" spans="1:20" ht="18" customHeight="1">
      <c r="A201" s="30">
        <v>14</v>
      </c>
      <c r="B201" s="31" t="s">
        <v>316</v>
      </c>
      <c r="C201" s="32">
        <v>0</v>
      </c>
      <c r="D201" s="32">
        <v>0</v>
      </c>
      <c r="E201" s="32">
        <v>0</v>
      </c>
      <c r="F201" s="32">
        <v>0</v>
      </c>
      <c r="G201" s="32">
        <v>0</v>
      </c>
      <c r="H201" s="32">
        <v>0</v>
      </c>
      <c r="I201" s="32">
        <v>8</v>
      </c>
      <c r="J201" s="32">
        <v>1.53</v>
      </c>
      <c r="K201" s="32">
        <v>0</v>
      </c>
      <c r="L201" s="32">
        <v>0</v>
      </c>
      <c r="M201" s="32">
        <v>8</v>
      </c>
      <c r="N201" s="32">
        <v>1.53</v>
      </c>
      <c r="O201" s="32">
        <v>0</v>
      </c>
      <c r="P201" s="32">
        <v>0</v>
      </c>
      <c r="Q201" s="32">
        <v>0</v>
      </c>
      <c r="R201" s="32">
        <v>0</v>
      </c>
      <c r="S201" s="32">
        <v>0</v>
      </c>
      <c r="T201" s="32">
        <v>0</v>
      </c>
    </row>
    <row r="202" spans="1:20" ht="18" customHeight="1">
      <c r="A202" s="30">
        <v>15</v>
      </c>
      <c r="B202" s="31" t="s">
        <v>361</v>
      </c>
      <c r="C202" s="32">
        <v>0</v>
      </c>
      <c r="D202" s="32">
        <v>0</v>
      </c>
      <c r="E202" s="32">
        <v>0</v>
      </c>
      <c r="F202" s="32">
        <v>0</v>
      </c>
      <c r="G202" s="32">
        <v>0</v>
      </c>
      <c r="H202" s="32">
        <v>0</v>
      </c>
      <c r="I202" s="32">
        <v>28</v>
      </c>
      <c r="J202" s="32">
        <v>14.58</v>
      </c>
      <c r="K202" s="32">
        <v>0</v>
      </c>
      <c r="L202" s="32">
        <v>0</v>
      </c>
      <c r="M202" s="32">
        <v>28</v>
      </c>
      <c r="N202" s="32">
        <v>14.58</v>
      </c>
      <c r="O202" s="32">
        <v>0</v>
      </c>
      <c r="P202" s="32">
        <v>0</v>
      </c>
      <c r="Q202" s="32">
        <v>0</v>
      </c>
      <c r="R202" s="32">
        <v>0</v>
      </c>
      <c r="S202" s="32">
        <v>0</v>
      </c>
      <c r="T202" s="32">
        <v>0</v>
      </c>
    </row>
    <row r="203" spans="1:20" ht="18" customHeight="1">
      <c r="A203" s="30">
        <v>16</v>
      </c>
      <c r="B203" s="31" t="s">
        <v>362</v>
      </c>
      <c r="C203" s="32">
        <v>0</v>
      </c>
      <c r="D203" s="32">
        <v>0</v>
      </c>
      <c r="E203" s="32">
        <v>0</v>
      </c>
      <c r="F203" s="32">
        <v>0</v>
      </c>
      <c r="G203" s="32">
        <v>0</v>
      </c>
      <c r="H203" s="32">
        <v>0</v>
      </c>
      <c r="I203" s="32">
        <v>256</v>
      </c>
      <c r="J203" s="32">
        <v>187.22</v>
      </c>
      <c r="K203" s="32">
        <v>0</v>
      </c>
      <c r="L203" s="32">
        <v>0</v>
      </c>
      <c r="M203" s="32">
        <v>256</v>
      </c>
      <c r="N203" s="32">
        <v>187.22</v>
      </c>
      <c r="O203" s="32">
        <v>0</v>
      </c>
      <c r="P203" s="32">
        <v>0</v>
      </c>
      <c r="Q203" s="32">
        <v>0</v>
      </c>
      <c r="R203" s="32">
        <v>0</v>
      </c>
      <c r="S203" s="32">
        <v>0</v>
      </c>
      <c r="T203" s="32">
        <v>0</v>
      </c>
    </row>
    <row r="204" spans="1:20" ht="18" customHeight="1">
      <c r="A204" s="30">
        <v>17</v>
      </c>
      <c r="B204" s="31" t="s">
        <v>363</v>
      </c>
      <c r="C204" s="32">
        <v>0</v>
      </c>
      <c r="D204" s="32">
        <v>0</v>
      </c>
      <c r="E204" s="32">
        <v>0</v>
      </c>
      <c r="F204" s="32">
        <v>0</v>
      </c>
      <c r="G204" s="32">
        <v>0</v>
      </c>
      <c r="H204" s="32">
        <v>0</v>
      </c>
      <c r="I204" s="32">
        <v>34</v>
      </c>
      <c r="J204" s="32">
        <v>25.69</v>
      </c>
      <c r="K204" s="32">
        <v>0</v>
      </c>
      <c r="L204" s="32">
        <v>0</v>
      </c>
      <c r="M204" s="32">
        <v>34</v>
      </c>
      <c r="N204" s="32">
        <v>25.69</v>
      </c>
      <c r="O204" s="32">
        <v>0</v>
      </c>
      <c r="P204" s="32">
        <v>0</v>
      </c>
      <c r="Q204" s="32">
        <v>0</v>
      </c>
      <c r="R204" s="32">
        <v>0</v>
      </c>
      <c r="S204" s="32">
        <v>0</v>
      </c>
      <c r="T204" s="32">
        <v>0</v>
      </c>
    </row>
    <row r="205" spans="1:20" ht="18" customHeight="1">
      <c r="A205" s="30">
        <v>18</v>
      </c>
      <c r="B205" s="31" t="s">
        <v>364</v>
      </c>
      <c r="C205" s="32">
        <v>0</v>
      </c>
      <c r="D205" s="32">
        <v>0</v>
      </c>
      <c r="E205" s="32">
        <v>0</v>
      </c>
      <c r="F205" s="32">
        <v>0</v>
      </c>
      <c r="G205" s="32">
        <v>0</v>
      </c>
      <c r="H205" s="32">
        <v>0</v>
      </c>
      <c r="I205" s="32">
        <v>26</v>
      </c>
      <c r="J205" s="32">
        <v>23.03</v>
      </c>
      <c r="K205" s="32">
        <v>0</v>
      </c>
      <c r="L205" s="32">
        <v>0</v>
      </c>
      <c r="M205" s="32">
        <v>26</v>
      </c>
      <c r="N205" s="32">
        <v>23.03</v>
      </c>
      <c r="O205" s="32">
        <v>0</v>
      </c>
      <c r="P205" s="32">
        <v>0</v>
      </c>
      <c r="Q205" s="32">
        <v>0</v>
      </c>
      <c r="R205" s="32">
        <v>0</v>
      </c>
      <c r="S205" s="32">
        <v>0</v>
      </c>
      <c r="T205" s="32">
        <v>0</v>
      </c>
    </row>
    <row r="206" spans="1:20" ht="18" customHeight="1">
      <c r="A206" s="30">
        <v>19</v>
      </c>
      <c r="B206" s="31" t="s">
        <v>365</v>
      </c>
      <c r="C206" s="32">
        <v>0</v>
      </c>
      <c r="D206" s="32">
        <v>0</v>
      </c>
      <c r="E206" s="32">
        <v>0</v>
      </c>
      <c r="F206" s="32">
        <v>0</v>
      </c>
      <c r="G206" s="32">
        <v>0</v>
      </c>
      <c r="H206" s="32">
        <v>0</v>
      </c>
      <c r="I206" s="32">
        <v>210</v>
      </c>
      <c r="J206" s="32">
        <v>155.19</v>
      </c>
      <c r="K206" s="32">
        <v>0</v>
      </c>
      <c r="L206" s="32">
        <v>0</v>
      </c>
      <c r="M206" s="32">
        <v>210</v>
      </c>
      <c r="N206" s="32">
        <v>155.19</v>
      </c>
      <c r="O206" s="32">
        <v>0</v>
      </c>
      <c r="P206" s="32">
        <v>0</v>
      </c>
      <c r="Q206" s="32">
        <v>0</v>
      </c>
      <c r="R206" s="32">
        <v>0</v>
      </c>
      <c r="S206" s="32">
        <v>0</v>
      </c>
      <c r="T206" s="32">
        <v>0</v>
      </c>
    </row>
    <row r="207" spans="1:20" ht="18" customHeight="1">
      <c r="A207" s="676" t="s">
        <v>8</v>
      </c>
      <c r="B207" s="677"/>
      <c r="C207" s="32">
        <v>0</v>
      </c>
      <c r="D207" s="32">
        <v>0</v>
      </c>
      <c r="E207" s="32">
        <v>0</v>
      </c>
      <c r="F207" s="32">
        <v>0</v>
      </c>
      <c r="G207" s="32">
        <v>0</v>
      </c>
      <c r="H207" s="32">
        <v>0</v>
      </c>
      <c r="I207" s="32">
        <v>1040</v>
      </c>
      <c r="J207" s="32">
        <v>781.57</v>
      </c>
      <c r="K207" s="32">
        <v>0</v>
      </c>
      <c r="L207" s="32">
        <v>0</v>
      </c>
      <c r="M207" s="32">
        <v>1040</v>
      </c>
      <c r="N207" s="32">
        <v>781.57</v>
      </c>
      <c r="O207" s="32">
        <v>14</v>
      </c>
      <c r="P207" s="32">
        <v>4.5</v>
      </c>
      <c r="Q207" s="32">
        <v>0</v>
      </c>
      <c r="R207" s="32">
        <v>0</v>
      </c>
      <c r="S207" s="32">
        <v>14</v>
      </c>
      <c r="T207" s="32">
        <v>4.5</v>
      </c>
    </row>
    <row r="208" spans="1:20" ht="18" customHeight="1">
      <c r="A208" s="511"/>
      <c r="B208" s="513"/>
      <c r="C208" s="513"/>
      <c r="D208" s="513"/>
      <c r="E208" s="513"/>
      <c r="F208" s="513"/>
      <c r="G208" s="513"/>
      <c r="H208" s="513"/>
      <c r="I208" s="513"/>
      <c r="J208" s="513"/>
      <c r="K208" s="513"/>
      <c r="L208" s="513"/>
      <c r="M208" s="513"/>
      <c r="N208" s="513"/>
      <c r="O208" s="513"/>
      <c r="P208" s="513"/>
      <c r="Q208" s="513"/>
      <c r="R208" s="513"/>
      <c r="S208" s="513"/>
      <c r="T208" s="512"/>
    </row>
    <row r="209" spans="1:20" ht="18" customHeight="1">
      <c r="A209" s="511"/>
      <c r="B209" s="513"/>
      <c r="C209" s="513"/>
      <c r="D209" s="513"/>
      <c r="E209" s="513"/>
      <c r="F209" s="513"/>
      <c r="G209" s="513"/>
      <c r="H209" s="513"/>
      <c r="I209" s="513"/>
      <c r="J209" s="513"/>
      <c r="K209" s="513"/>
      <c r="L209" s="513"/>
      <c r="M209" s="513"/>
      <c r="N209" s="513"/>
      <c r="O209" s="513"/>
      <c r="P209" s="513"/>
      <c r="Q209" s="513"/>
      <c r="R209" s="513"/>
      <c r="S209" s="513"/>
      <c r="T209" s="512"/>
    </row>
    <row r="210" spans="1:20" ht="18" customHeight="1">
      <c r="A210" s="511"/>
      <c r="B210" s="513"/>
      <c r="C210" s="513"/>
      <c r="D210" s="513"/>
      <c r="E210" s="513"/>
      <c r="F210" s="513"/>
      <c r="G210" s="513"/>
      <c r="H210" s="513"/>
      <c r="I210" s="513"/>
      <c r="J210" s="513"/>
      <c r="K210" s="513"/>
      <c r="L210" s="513"/>
      <c r="M210" s="513"/>
      <c r="N210" s="513"/>
      <c r="O210" s="513"/>
      <c r="P210" s="513"/>
      <c r="Q210" s="513"/>
      <c r="R210" s="513"/>
      <c r="S210" s="513"/>
      <c r="T210" s="512"/>
    </row>
    <row r="211" spans="1:20" ht="18" customHeight="1">
      <c r="A211" s="678" t="s">
        <v>446</v>
      </c>
      <c r="B211" s="679"/>
      <c r="C211" s="679"/>
      <c r="D211" s="679"/>
      <c r="E211" s="679"/>
      <c r="F211" s="679"/>
      <c r="G211" s="679"/>
      <c r="H211" s="679"/>
      <c r="I211" s="679"/>
      <c r="J211" s="679"/>
      <c r="K211" s="679"/>
      <c r="L211" s="679"/>
      <c r="M211" s="679"/>
      <c r="N211" s="679"/>
      <c r="O211" s="679"/>
      <c r="P211" s="679"/>
      <c r="Q211" s="679"/>
      <c r="R211" s="679"/>
      <c r="S211" s="679"/>
      <c r="T211" s="680"/>
    </row>
    <row r="212" spans="1:20" ht="18" customHeight="1">
      <c r="A212" s="678" t="s">
        <v>366</v>
      </c>
      <c r="B212" s="679"/>
      <c r="C212" s="679"/>
      <c r="D212" s="679"/>
      <c r="E212" s="679"/>
      <c r="F212" s="679"/>
      <c r="G212" s="679"/>
      <c r="H212" s="679"/>
      <c r="I212" s="679"/>
      <c r="J212" s="679"/>
      <c r="K212" s="679"/>
      <c r="L212" s="679"/>
      <c r="M212" s="679"/>
      <c r="N212" s="679"/>
      <c r="O212" s="679"/>
      <c r="P212" s="679"/>
      <c r="Q212" s="679"/>
      <c r="R212" s="679"/>
      <c r="S212" s="679"/>
      <c r="T212" s="680"/>
    </row>
    <row r="213" spans="1:20" ht="18" customHeight="1">
      <c r="A213" s="681" t="s">
        <v>301</v>
      </c>
      <c r="B213" s="684" t="s">
        <v>302</v>
      </c>
      <c r="C213" s="687" t="s">
        <v>303</v>
      </c>
      <c r="D213" s="688"/>
      <c r="E213" s="688"/>
      <c r="F213" s="688"/>
      <c r="G213" s="688"/>
      <c r="H213" s="689"/>
      <c r="I213" s="687" t="s">
        <v>304</v>
      </c>
      <c r="J213" s="688"/>
      <c r="K213" s="688"/>
      <c r="L213" s="688"/>
      <c r="M213" s="688"/>
      <c r="N213" s="689"/>
      <c r="O213" s="687" t="s">
        <v>305</v>
      </c>
      <c r="P213" s="688"/>
      <c r="Q213" s="688"/>
      <c r="R213" s="688"/>
      <c r="S213" s="688"/>
      <c r="T213" s="689"/>
    </row>
    <row r="214" spans="1:20" ht="18" customHeight="1">
      <c r="A214" s="682"/>
      <c r="B214" s="685"/>
      <c r="C214" s="687" t="s">
        <v>306</v>
      </c>
      <c r="D214" s="689"/>
      <c r="E214" s="687" t="s">
        <v>307</v>
      </c>
      <c r="F214" s="689"/>
      <c r="G214" s="687" t="s">
        <v>8</v>
      </c>
      <c r="H214" s="689"/>
      <c r="I214" s="687" t="s">
        <v>306</v>
      </c>
      <c r="J214" s="689"/>
      <c r="K214" s="687" t="s">
        <v>307</v>
      </c>
      <c r="L214" s="689"/>
      <c r="M214" s="687" t="s">
        <v>8</v>
      </c>
      <c r="N214" s="689"/>
      <c r="O214" s="687" t="s">
        <v>306</v>
      </c>
      <c r="P214" s="689"/>
      <c r="Q214" s="687" t="s">
        <v>307</v>
      </c>
      <c r="R214" s="689"/>
      <c r="S214" s="687" t="s">
        <v>8</v>
      </c>
      <c r="T214" s="689"/>
    </row>
    <row r="215" spans="1:20" ht="18" customHeight="1">
      <c r="A215" s="683"/>
      <c r="B215" s="686"/>
      <c r="C215" s="30" t="s">
        <v>105</v>
      </c>
      <c r="D215" s="30" t="s">
        <v>41</v>
      </c>
      <c r="E215" s="30" t="s">
        <v>105</v>
      </c>
      <c r="F215" s="30" t="s">
        <v>41</v>
      </c>
      <c r="G215" s="30" t="s">
        <v>105</v>
      </c>
      <c r="H215" s="30" t="s">
        <v>41</v>
      </c>
      <c r="I215" s="30" t="s">
        <v>105</v>
      </c>
      <c r="J215" s="30" t="s">
        <v>41</v>
      </c>
      <c r="K215" s="30" t="s">
        <v>105</v>
      </c>
      <c r="L215" s="30" t="s">
        <v>41</v>
      </c>
      <c r="M215" s="30" t="s">
        <v>105</v>
      </c>
      <c r="N215" s="30" t="s">
        <v>41</v>
      </c>
      <c r="O215" s="30" t="s">
        <v>105</v>
      </c>
      <c r="P215" s="30" t="s">
        <v>41</v>
      </c>
      <c r="Q215" s="30" t="s">
        <v>105</v>
      </c>
      <c r="R215" s="30" t="s">
        <v>41</v>
      </c>
      <c r="S215" s="30" t="s">
        <v>105</v>
      </c>
      <c r="T215" s="30" t="s">
        <v>41</v>
      </c>
    </row>
    <row r="216" spans="1:20" ht="18" customHeight="1">
      <c r="A216" s="30">
        <v>1</v>
      </c>
      <c r="B216" s="31" t="s">
        <v>367</v>
      </c>
      <c r="C216" s="32">
        <v>0</v>
      </c>
      <c r="D216" s="32">
        <v>0</v>
      </c>
      <c r="E216" s="32">
        <v>0</v>
      </c>
      <c r="F216" s="32">
        <v>0</v>
      </c>
      <c r="G216" s="32">
        <v>0</v>
      </c>
      <c r="H216" s="32">
        <v>0</v>
      </c>
      <c r="I216" s="32">
        <v>20</v>
      </c>
      <c r="J216" s="32">
        <v>15.33</v>
      </c>
      <c r="K216" s="32">
        <v>0</v>
      </c>
      <c r="L216" s="32">
        <v>0</v>
      </c>
      <c r="M216" s="32">
        <v>20</v>
      </c>
      <c r="N216" s="32">
        <v>15.33</v>
      </c>
      <c r="O216" s="32">
        <v>0</v>
      </c>
      <c r="P216" s="32">
        <v>0</v>
      </c>
      <c r="Q216" s="32">
        <v>0</v>
      </c>
      <c r="R216" s="32">
        <v>0</v>
      </c>
      <c r="S216" s="32">
        <v>0</v>
      </c>
      <c r="T216" s="32">
        <v>0</v>
      </c>
    </row>
    <row r="217" spans="1:20" ht="18" customHeight="1">
      <c r="A217" s="30">
        <v>2</v>
      </c>
      <c r="B217" s="31" t="s">
        <v>315</v>
      </c>
      <c r="C217" s="32">
        <v>0</v>
      </c>
      <c r="D217" s="32">
        <v>0</v>
      </c>
      <c r="E217" s="32">
        <v>0</v>
      </c>
      <c r="F217" s="32">
        <v>0</v>
      </c>
      <c r="G217" s="32">
        <v>0</v>
      </c>
      <c r="H217" s="32">
        <v>0</v>
      </c>
      <c r="I217" s="32">
        <v>53</v>
      </c>
      <c r="J217" s="32">
        <v>36.17</v>
      </c>
      <c r="K217" s="32">
        <v>0</v>
      </c>
      <c r="L217" s="32">
        <v>0</v>
      </c>
      <c r="M217" s="32">
        <v>53</v>
      </c>
      <c r="N217" s="32">
        <v>36.17</v>
      </c>
      <c r="O217" s="32">
        <v>0</v>
      </c>
      <c r="P217" s="32">
        <v>0</v>
      </c>
      <c r="Q217" s="32">
        <v>0</v>
      </c>
      <c r="R217" s="32">
        <v>0</v>
      </c>
      <c r="S217" s="32">
        <v>0</v>
      </c>
      <c r="T217" s="32">
        <v>0</v>
      </c>
    </row>
    <row r="218" spans="1:20" ht="18" customHeight="1">
      <c r="A218" s="676" t="s">
        <v>8</v>
      </c>
      <c r="B218" s="677"/>
      <c r="C218" s="32">
        <v>0</v>
      </c>
      <c r="D218" s="32">
        <v>0</v>
      </c>
      <c r="E218" s="32">
        <v>0</v>
      </c>
      <c r="F218" s="32">
        <v>0</v>
      </c>
      <c r="G218" s="32">
        <v>0</v>
      </c>
      <c r="H218" s="32">
        <v>0</v>
      </c>
      <c r="I218" s="32">
        <v>73</v>
      </c>
      <c r="J218" s="323">
        <v>51.5</v>
      </c>
      <c r="K218" s="32">
        <v>0</v>
      </c>
      <c r="L218" s="32">
        <v>0</v>
      </c>
      <c r="M218" s="32">
        <v>73</v>
      </c>
      <c r="N218" s="323">
        <v>51.5</v>
      </c>
      <c r="O218" s="32">
        <v>0</v>
      </c>
      <c r="P218" s="32">
        <v>0</v>
      </c>
      <c r="Q218" s="32">
        <v>0</v>
      </c>
      <c r="R218" s="32">
        <v>0</v>
      </c>
      <c r="S218" s="32">
        <v>0</v>
      </c>
      <c r="T218" s="32">
        <v>0</v>
      </c>
    </row>
    <row r="221" spans="1:20" ht="18" customHeight="1">
      <c r="A221" s="690" t="s">
        <v>454</v>
      </c>
      <c r="B221" s="690"/>
    </row>
    <row r="222" spans="1:20" ht="18" customHeight="1">
      <c r="A222" s="692" t="s">
        <v>445</v>
      </c>
      <c r="B222" s="693"/>
      <c r="C222" s="693"/>
      <c r="D222" s="693"/>
      <c r="E222" s="693"/>
      <c r="F222" s="693"/>
      <c r="G222" s="693"/>
      <c r="H222" s="693"/>
      <c r="I222" s="693"/>
      <c r="J222" s="693"/>
      <c r="K222" s="693"/>
      <c r="L222" s="693"/>
      <c r="M222" s="693"/>
      <c r="N222" s="693"/>
      <c r="O222" s="693"/>
      <c r="P222" s="693"/>
      <c r="Q222" s="693"/>
      <c r="R222" s="693"/>
      <c r="S222" s="693"/>
      <c r="T222" s="694"/>
    </row>
    <row r="223" spans="1:20" ht="18" customHeight="1">
      <c r="A223" s="678" t="s">
        <v>446</v>
      </c>
      <c r="B223" s="679"/>
      <c r="C223" s="679"/>
      <c r="D223" s="679"/>
      <c r="E223" s="679"/>
      <c r="F223" s="679"/>
      <c r="G223" s="679"/>
      <c r="H223" s="679"/>
      <c r="I223" s="679"/>
      <c r="J223" s="679"/>
      <c r="K223" s="679"/>
      <c r="L223" s="679"/>
      <c r="M223" s="679"/>
      <c r="N223" s="679"/>
      <c r="O223" s="679"/>
      <c r="P223" s="679"/>
      <c r="Q223" s="679"/>
      <c r="R223" s="679"/>
      <c r="S223" s="679"/>
      <c r="T223" s="680"/>
    </row>
    <row r="224" spans="1:20" ht="18" customHeight="1">
      <c r="A224" s="678" t="s">
        <v>62</v>
      </c>
      <c r="B224" s="679"/>
      <c r="C224" s="679"/>
      <c r="D224" s="679"/>
      <c r="E224" s="679"/>
      <c r="F224" s="679"/>
      <c r="G224" s="679"/>
      <c r="H224" s="679"/>
      <c r="I224" s="679"/>
      <c r="J224" s="679"/>
      <c r="K224" s="679"/>
      <c r="L224" s="679"/>
      <c r="M224" s="679"/>
      <c r="N224" s="679"/>
      <c r="O224" s="679"/>
      <c r="P224" s="679"/>
      <c r="Q224" s="679"/>
      <c r="R224" s="679"/>
      <c r="S224" s="679"/>
      <c r="T224" s="680"/>
    </row>
    <row r="225" spans="1:20" ht="18" customHeight="1">
      <c r="A225" s="681" t="s">
        <v>301</v>
      </c>
      <c r="B225" s="684" t="s">
        <v>302</v>
      </c>
      <c r="C225" s="687" t="s">
        <v>303</v>
      </c>
      <c r="D225" s="688"/>
      <c r="E225" s="688"/>
      <c r="F225" s="688"/>
      <c r="G225" s="688"/>
      <c r="H225" s="689"/>
      <c r="I225" s="687" t="s">
        <v>304</v>
      </c>
      <c r="J225" s="688"/>
      <c r="K225" s="688"/>
      <c r="L225" s="688"/>
      <c r="M225" s="688"/>
      <c r="N225" s="689"/>
      <c r="O225" s="687" t="s">
        <v>305</v>
      </c>
      <c r="P225" s="688"/>
      <c r="Q225" s="688"/>
      <c r="R225" s="688"/>
      <c r="S225" s="688"/>
      <c r="T225" s="689"/>
    </row>
    <row r="226" spans="1:20" ht="18" customHeight="1">
      <c r="A226" s="682"/>
      <c r="B226" s="685"/>
      <c r="C226" s="687" t="s">
        <v>306</v>
      </c>
      <c r="D226" s="689"/>
      <c r="E226" s="687" t="s">
        <v>307</v>
      </c>
      <c r="F226" s="689"/>
      <c r="G226" s="687" t="s">
        <v>8</v>
      </c>
      <c r="H226" s="689"/>
      <c r="I226" s="687" t="s">
        <v>306</v>
      </c>
      <c r="J226" s="689"/>
      <c r="K226" s="687" t="s">
        <v>307</v>
      </c>
      <c r="L226" s="689"/>
      <c r="M226" s="687" t="s">
        <v>8</v>
      </c>
      <c r="N226" s="689"/>
      <c r="O226" s="687" t="s">
        <v>306</v>
      </c>
      <c r="P226" s="689"/>
      <c r="Q226" s="687" t="s">
        <v>307</v>
      </c>
      <c r="R226" s="689"/>
      <c r="S226" s="687" t="s">
        <v>8</v>
      </c>
      <c r="T226" s="689"/>
    </row>
    <row r="227" spans="1:20" ht="18" customHeight="1">
      <c r="A227" s="683"/>
      <c r="B227" s="686"/>
      <c r="C227" s="384" t="s">
        <v>105</v>
      </c>
      <c r="D227" s="384" t="s">
        <v>41</v>
      </c>
      <c r="E227" s="384" t="s">
        <v>105</v>
      </c>
      <c r="F227" s="384" t="s">
        <v>41</v>
      </c>
      <c r="G227" s="384" t="s">
        <v>105</v>
      </c>
      <c r="H227" s="384" t="s">
        <v>41</v>
      </c>
      <c r="I227" s="30" t="s">
        <v>105</v>
      </c>
      <c r="J227" s="30" t="s">
        <v>41</v>
      </c>
      <c r="K227" s="30" t="s">
        <v>105</v>
      </c>
      <c r="L227" s="30" t="s">
        <v>41</v>
      </c>
      <c r="M227" s="30" t="s">
        <v>105</v>
      </c>
      <c r="N227" s="30" t="s">
        <v>41</v>
      </c>
      <c r="O227" s="30" t="s">
        <v>105</v>
      </c>
      <c r="P227" s="30" t="s">
        <v>41</v>
      </c>
      <c r="Q227" s="30" t="s">
        <v>105</v>
      </c>
      <c r="R227" s="30" t="s">
        <v>41</v>
      </c>
      <c r="S227" s="30" t="s">
        <v>105</v>
      </c>
      <c r="T227" s="30" t="s">
        <v>41</v>
      </c>
    </row>
    <row r="228" spans="1:20" ht="18" customHeight="1">
      <c r="A228" s="30">
        <v>1</v>
      </c>
      <c r="B228" s="388" t="s">
        <v>316</v>
      </c>
      <c r="C228" s="269">
        <v>0</v>
      </c>
      <c r="D228" s="269">
        <v>0</v>
      </c>
      <c r="E228" s="269">
        <v>0</v>
      </c>
      <c r="F228" s="269">
        <v>0</v>
      </c>
      <c r="G228" s="269">
        <v>0</v>
      </c>
      <c r="H228" s="269">
        <v>0</v>
      </c>
      <c r="I228" s="386">
        <v>99</v>
      </c>
      <c r="J228" s="32">
        <v>71.94</v>
      </c>
      <c r="K228" s="32">
        <v>0</v>
      </c>
      <c r="L228" s="32">
        <v>0</v>
      </c>
      <c r="M228" s="32">
        <v>99</v>
      </c>
      <c r="N228" s="32">
        <v>71.94</v>
      </c>
      <c r="O228" s="32">
        <v>0</v>
      </c>
      <c r="P228" s="32">
        <v>0</v>
      </c>
      <c r="Q228" s="32">
        <v>0</v>
      </c>
      <c r="R228" s="32">
        <v>0</v>
      </c>
      <c r="S228" s="32">
        <v>0</v>
      </c>
      <c r="T228" s="32">
        <v>0</v>
      </c>
    </row>
    <row r="229" spans="1:20" ht="18" customHeight="1">
      <c r="A229" s="30">
        <v>2</v>
      </c>
      <c r="B229" s="388" t="s">
        <v>321</v>
      </c>
      <c r="C229" s="269">
        <v>0</v>
      </c>
      <c r="D229" s="269">
        <v>0</v>
      </c>
      <c r="E229" s="269">
        <v>0</v>
      </c>
      <c r="F229" s="269">
        <v>0</v>
      </c>
      <c r="G229" s="269">
        <v>0</v>
      </c>
      <c r="H229" s="269">
        <v>0</v>
      </c>
      <c r="I229" s="386">
        <v>117</v>
      </c>
      <c r="J229" s="32">
        <v>51.83</v>
      </c>
      <c r="K229" s="32">
        <v>0</v>
      </c>
      <c r="L229" s="32">
        <v>0</v>
      </c>
      <c r="M229" s="32">
        <v>117</v>
      </c>
      <c r="N229" s="32">
        <v>51.83</v>
      </c>
      <c r="O229" s="32">
        <v>0</v>
      </c>
      <c r="P229" s="32">
        <v>0</v>
      </c>
      <c r="Q229" s="32">
        <v>0</v>
      </c>
      <c r="R229" s="32">
        <v>0</v>
      </c>
      <c r="S229" s="32">
        <v>0</v>
      </c>
      <c r="T229" s="32">
        <v>0</v>
      </c>
    </row>
    <row r="230" spans="1:20" ht="18" customHeight="1">
      <c r="A230" s="676" t="s">
        <v>8</v>
      </c>
      <c r="B230" s="695"/>
      <c r="C230" s="269">
        <v>0</v>
      </c>
      <c r="D230" s="269">
        <v>0</v>
      </c>
      <c r="E230" s="269">
        <v>0</v>
      </c>
      <c r="F230" s="269">
        <v>0</v>
      </c>
      <c r="G230" s="269">
        <v>0</v>
      </c>
      <c r="H230" s="269">
        <v>0</v>
      </c>
      <c r="I230" s="386">
        <v>216</v>
      </c>
      <c r="J230" s="32">
        <v>123.77</v>
      </c>
      <c r="K230" s="32">
        <v>0</v>
      </c>
      <c r="L230" s="32">
        <v>0</v>
      </c>
      <c r="M230" s="32">
        <v>216</v>
      </c>
      <c r="N230" s="32">
        <v>123.77</v>
      </c>
      <c r="O230" s="32">
        <v>0</v>
      </c>
      <c r="P230" s="32">
        <v>0</v>
      </c>
      <c r="Q230" s="32">
        <v>0</v>
      </c>
      <c r="R230" s="32">
        <v>0</v>
      </c>
      <c r="S230" s="32">
        <v>0</v>
      </c>
      <c r="T230" s="32">
        <v>0</v>
      </c>
    </row>
    <row r="232" spans="1:20" ht="18" customHeight="1">
      <c r="A232" s="690" t="s">
        <v>456</v>
      </c>
      <c r="B232" s="690"/>
    </row>
    <row r="233" spans="1:20" ht="18" customHeight="1">
      <c r="A233" s="692" t="s">
        <v>445</v>
      </c>
      <c r="B233" s="693"/>
      <c r="C233" s="693"/>
      <c r="D233" s="693"/>
      <c r="E233" s="693"/>
      <c r="F233" s="693"/>
      <c r="G233" s="693"/>
      <c r="H233" s="693"/>
      <c r="I233" s="693"/>
      <c r="J233" s="693"/>
      <c r="K233" s="693"/>
      <c r="L233" s="693"/>
      <c r="M233" s="693"/>
      <c r="N233" s="693"/>
      <c r="O233" s="693"/>
      <c r="P233" s="693"/>
      <c r="Q233" s="693"/>
      <c r="R233" s="693"/>
      <c r="S233" s="693"/>
      <c r="T233" s="694"/>
    </row>
    <row r="234" spans="1:20" ht="18" customHeight="1">
      <c r="A234" s="678" t="s">
        <v>446</v>
      </c>
      <c r="B234" s="679"/>
      <c r="C234" s="679"/>
      <c r="D234" s="679"/>
      <c r="E234" s="679"/>
      <c r="F234" s="679"/>
      <c r="G234" s="679"/>
      <c r="H234" s="679"/>
      <c r="I234" s="679"/>
      <c r="J234" s="679"/>
      <c r="K234" s="679"/>
      <c r="L234" s="679"/>
      <c r="M234" s="679"/>
      <c r="N234" s="679"/>
      <c r="O234" s="679"/>
      <c r="P234" s="679"/>
      <c r="Q234" s="679"/>
      <c r="R234" s="679"/>
      <c r="S234" s="679"/>
      <c r="T234" s="680"/>
    </row>
    <row r="235" spans="1:20" ht="18" customHeight="1">
      <c r="A235" s="678" t="s">
        <v>62</v>
      </c>
      <c r="B235" s="679"/>
      <c r="C235" s="679"/>
      <c r="D235" s="679"/>
      <c r="E235" s="679"/>
      <c r="F235" s="679"/>
      <c r="G235" s="679"/>
      <c r="H235" s="679"/>
      <c r="I235" s="679"/>
      <c r="J235" s="679"/>
      <c r="K235" s="679"/>
      <c r="L235" s="679"/>
      <c r="M235" s="679"/>
      <c r="N235" s="679"/>
      <c r="O235" s="679"/>
      <c r="P235" s="679"/>
      <c r="Q235" s="679"/>
      <c r="R235" s="679"/>
      <c r="S235" s="679"/>
      <c r="T235" s="680"/>
    </row>
    <row r="236" spans="1:20" ht="18" customHeight="1">
      <c r="A236" s="681" t="s">
        <v>301</v>
      </c>
      <c r="B236" s="684" t="s">
        <v>302</v>
      </c>
      <c r="C236" s="687" t="s">
        <v>303</v>
      </c>
      <c r="D236" s="688"/>
      <c r="E236" s="688"/>
      <c r="F236" s="688"/>
      <c r="G236" s="688"/>
      <c r="H236" s="689"/>
      <c r="I236" s="687" t="s">
        <v>304</v>
      </c>
      <c r="J236" s="688"/>
      <c r="K236" s="688"/>
      <c r="L236" s="688"/>
      <c r="M236" s="688"/>
      <c r="N236" s="689"/>
      <c r="O236" s="687" t="s">
        <v>305</v>
      </c>
      <c r="P236" s="688"/>
      <c r="Q236" s="688"/>
      <c r="R236" s="688"/>
      <c r="S236" s="688"/>
      <c r="T236" s="689"/>
    </row>
    <row r="237" spans="1:20" ht="18" customHeight="1">
      <c r="A237" s="682"/>
      <c r="B237" s="685"/>
      <c r="C237" s="687" t="s">
        <v>306</v>
      </c>
      <c r="D237" s="689"/>
      <c r="E237" s="687" t="s">
        <v>307</v>
      </c>
      <c r="F237" s="689"/>
      <c r="G237" s="687" t="s">
        <v>8</v>
      </c>
      <c r="H237" s="689"/>
      <c r="I237" s="687" t="s">
        <v>306</v>
      </c>
      <c r="J237" s="689"/>
      <c r="K237" s="687" t="s">
        <v>307</v>
      </c>
      <c r="L237" s="689"/>
      <c r="M237" s="687" t="s">
        <v>8</v>
      </c>
      <c r="N237" s="689"/>
      <c r="O237" s="687" t="s">
        <v>306</v>
      </c>
      <c r="P237" s="689"/>
      <c r="Q237" s="687" t="s">
        <v>307</v>
      </c>
      <c r="R237" s="689"/>
      <c r="S237" s="687" t="s">
        <v>8</v>
      </c>
      <c r="T237" s="689"/>
    </row>
    <row r="238" spans="1:20" ht="18" customHeight="1">
      <c r="A238" s="683"/>
      <c r="B238" s="686"/>
      <c r="C238" s="30" t="s">
        <v>105</v>
      </c>
      <c r="D238" s="30" t="s">
        <v>41</v>
      </c>
      <c r="E238" s="30" t="s">
        <v>105</v>
      </c>
      <c r="F238" s="30" t="s">
        <v>41</v>
      </c>
      <c r="G238" s="30" t="s">
        <v>105</v>
      </c>
      <c r="H238" s="30" t="s">
        <v>41</v>
      </c>
      <c r="I238" s="384" t="s">
        <v>105</v>
      </c>
      <c r="J238" s="384" t="s">
        <v>41</v>
      </c>
      <c r="K238" s="384" t="s">
        <v>105</v>
      </c>
      <c r="L238" s="384" t="s">
        <v>41</v>
      </c>
      <c r="M238" s="384" t="s">
        <v>105</v>
      </c>
      <c r="N238" s="384" t="s">
        <v>41</v>
      </c>
      <c r="O238" s="30" t="s">
        <v>105</v>
      </c>
      <c r="P238" s="30" t="s">
        <v>41</v>
      </c>
      <c r="Q238" s="30" t="s">
        <v>105</v>
      </c>
      <c r="R238" s="30" t="s">
        <v>41</v>
      </c>
      <c r="S238" s="30" t="s">
        <v>105</v>
      </c>
      <c r="T238" s="30" t="s">
        <v>41</v>
      </c>
    </row>
    <row r="239" spans="1:20" ht="18" customHeight="1">
      <c r="A239" s="30">
        <v>1</v>
      </c>
      <c r="B239" s="31" t="s">
        <v>309</v>
      </c>
      <c r="C239" s="32">
        <v>84</v>
      </c>
      <c r="D239" s="32">
        <v>68.08</v>
      </c>
      <c r="E239" s="32">
        <v>0</v>
      </c>
      <c r="F239" s="32">
        <v>0</v>
      </c>
      <c r="G239" s="32">
        <v>84</v>
      </c>
      <c r="H239" s="385">
        <v>68.08</v>
      </c>
      <c r="I239" s="269">
        <v>0</v>
      </c>
      <c r="J239" s="269">
        <v>0</v>
      </c>
      <c r="K239" s="269">
        <v>0</v>
      </c>
      <c r="L239" s="269">
        <v>0</v>
      </c>
      <c r="M239" s="269">
        <v>0</v>
      </c>
      <c r="N239" s="269">
        <v>0</v>
      </c>
      <c r="O239" s="386">
        <v>0</v>
      </c>
      <c r="P239" s="32">
        <v>0</v>
      </c>
      <c r="Q239" s="32">
        <v>0</v>
      </c>
      <c r="R239" s="32">
        <v>0</v>
      </c>
      <c r="S239" s="32">
        <v>0</v>
      </c>
      <c r="T239" s="32">
        <v>0</v>
      </c>
    </row>
    <row r="240" spans="1:20" ht="18" customHeight="1">
      <c r="A240" s="30">
        <v>2</v>
      </c>
      <c r="B240" s="31" t="s">
        <v>310</v>
      </c>
      <c r="C240" s="32">
        <v>155</v>
      </c>
      <c r="D240" s="32">
        <v>120.17</v>
      </c>
      <c r="E240" s="32">
        <v>0</v>
      </c>
      <c r="F240" s="32">
        <v>0</v>
      </c>
      <c r="G240" s="32">
        <v>155</v>
      </c>
      <c r="H240" s="385">
        <v>120.17</v>
      </c>
      <c r="I240" s="269">
        <v>0</v>
      </c>
      <c r="J240" s="269">
        <v>0</v>
      </c>
      <c r="K240" s="269">
        <v>0</v>
      </c>
      <c r="L240" s="269">
        <v>0</v>
      </c>
      <c r="M240" s="269">
        <v>0</v>
      </c>
      <c r="N240" s="269">
        <v>0</v>
      </c>
      <c r="O240" s="386">
        <v>0</v>
      </c>
      <c r="P240" s="32">
        <v>0</v>
      </c>
      <c r="Q240" s="32">
        <v>0</v>
      </c>
      <c r="R240" s="32">
        <v>0</v>
      </c>
      <c r="S240" s="32">
        <v>0</v>
      </c>
      <c r="T240" s="32">
        <v>0</v>
      </c>
    </row>
    <row r="241" spans="1:20" ht="18" customHeight="1">
      <c r="A241" s="30">
        <v>3</v>
      </c>
      <c r="B241" s="31" t="s">
        <v>322</v>
      </c>
      <c r="C241" s="32">
        <v>114</v>
      </c>
      <c r="D241" s="32">
        <v>96.19</v>
      </c>
      <c r="E241" s="32">
        <v>0</v>
      </c>
      <c r="F241" s="32">
        <v>0</v>
      </c>
      <c r="G241" s="32">
        <v>114</v>
      </c>
      <c r="H241" s="385">
        <v>96.19</v>
      </c>
      <c r="I241" s="269">
        <v>0</v>
      </c>
      <c r="J241" s="269">
        <v>0</v>
      </c>
      <c r="K241" s="269">
        <v>0</v>
      </c>
      <c r="L241" s="269">
        <v>0</v>
      </c>
      <c r="M241" s="269">
        <v>0</v>
      </c>
      <c r="N241" s="269">
        <v>0</v>
      </c>
      <c r="O241" s="386">
        <v>0</v>
      </c>
      <c r="P241" s="32">
        <v>0</v>
      </c>
      <c r="Q241" s="32">
        <v>0</v>
      </c>
      <c r="R241" s="32">
        <v>0</v>
      </c>
      <c r="S241" s="32">
        <v>0</v>
      </c>
      <c r="T241" s="32">
        <v>0</v>
      </c>
    </row>
    <row r="242" spans="1:20" ht="18" customHeight="1">
      <c r="A242" s="30">
        <v>4</v>
      </c>
      <c r="B242" s="31" t="s">
        <v>323</v>
      </c>
      <c r="C242" s="32">
        <v>1</v>
      </c>
      <c r="D242" s="32">
        <v>0.11</v>
      </c>
      <c r="E242" s="32">
        <v>0</v>
      </c>
      <c r="F242" s="32">
        <v>0</v>
      </c>
      <c r="G242" s="32">
        <v>1</v>
      </c>
      <c r="H242" s="385">
        <v>0.11</v>
      </c>
      <c r="I242" s="269">
        <v>0</v>
      </c>
      <c r="J242" s="269">
        <v>0</v>
      </c>
      <c r="K242" s="269">
        <v>0</v>
      </c>
      <c r="L242" s="269">
        <v>0</v>
      </c>
      <c r="M242" s="269">
        <v>0</v>
      </c>
      <c r="N242" s="269">
        <v>0</v>
      </c>
      <c r="O242" s="386">
        <v>0</v>
      </c>
      <c r="P242" s="32">
        <v>0</v>
      </c>
      <c r="Q242" s="32">
        <v>0</v>
      </c>
      <c r="R242" s="32">
        <v>0</v>
      </c>
      <c r="S242" s="32">
        <v>0</v>
      </c>
      <c r="T242" s="32">
        <v>0</v>
      </c>
    </row>
    <row r="243" spans="1:20" ht="18" customHeight="1">
      <c r="A243" s="30">
        <v>5</v>
      </c>
      <c r="B243" s="31" t="s">
        <v>324</v>
      </c>
      <c r="C243" s="32">
        <v>141</v>
      </c>
      <c r="D243" s="32">
        <v>124.81</v>
      </c>
      <c r="E243" s="32">
        <v>0</v>
      </c>
      <c r="F243" s="32">
        <v>0</v>
      </c>
      <c r="G243" s="32">
        <v>141</v>
      </c>
      <c r="H243" s="385">
        <v>124.81</v>
      </c>
      <c r="I243" s="269">
        <v>0</v>
      </c>
      <c r="J243" s="269">
        <v>0</v>
      </c>
      <c r="K243" s="269">
        <v>0</v>
      </c>
      <c r="L243" s="269">
        <v>0</v>
      </c>
      <c r="M243" s="269">
        <v>0</v>
      </c>
      <c r="N243" s="269">
        <v>0</v>
      </c>
      <c r="O243" s="386">
        <v>0</v>
      </c>
      <c r="P243" s="32">
        <v>0</v>
      </c>
      <c r="Q243" s="32">
        <v>0</v>
      </c>
      <c r="R243" s="32">
        <v>0</v>
      </c>
      <c r="S243" s="32">
        <v>0</v>
      </c>
      <c r="T243" s="32">
        <v>0</v>
      </c>
    </row>
    <row r="244" spans="1:20" ht="18" customHeight="1">
      <c r="A244" s="30">
        <v>6</v>
      </c>
      <c r="B244" s="31" t="s">
        <v>455</v>
      </c>
      <c r="C244" s="32">
        <v>26</v>
      </c>
      <c r="D244" s="32">
        <v>15.89</v>
      </c>
      <c r="E244" s="32">
        <v>0</v>
      </c>
      <c r="F244" s="32">
        <v>0</v>
      </c>
      <c r="G244" s="32">
        <v>26</v>
      </c>
      <c r="H244" s="385">
        <v>15.89</v>
      </c>
      <c r="I244" s="269">
        <v>0</v>
      </c>
      <c r="J244" s="269">
        <v>0</v>
      </c>
      <c r="K244" s="269">
        <v>0</v>
      </c>
      <c r="L244" s="269">
        <v>0</v>
      </c>
      <c r="M244" s="269">
        <v>0</v>
      </c>
      <c r="N244" s="269">
        <v>0</v>
      </c>
      <c r="O244" s="386">
        <v>0</v>
      </c>
      <c r="P244" s="32">
        <v>0</v>
      </c>
      <c r="Q244" s="32">
        <v>0</v>
      </c>
      <c r="R244" s="32">
        <v>0</v>
      </c>
      <c r="S244" s="32">
        <v>0</v>
      </c>
      <c r="T244" s="32">
        <v>0</v>
      </c>
    </row>
    <row r="245" spans="1:20" ht="18" customHeight="1">
      <c r="A245" s="676" t="s">
        <v>8</v>
      </c>
      <c r="B245" s="677"/>
      <c r="C245" s="32">
        <v>521</v>
      </c>
      <c r="D245" s="32">
        <v>425.25</v>
      </c>
      <c r="E245" s="32">
        <v>0</v>
      </c>
      <c r="F245" s="32">
        <v>0</v>
      </c>
      <c r="G245" s="32">
        <v>521</v>
      </c>
      <c r="H245" s="385">
        <v>425.25</v>
      </c>
      <c r="I245" s="269">
        <v>0</v>
      </c>
      <c r="J245" s="269">
        <v>0</v>
      </c>
      <c r="K245" s="269">
        <v>0</v>
      </c>
      <c r="L245" s="269">
        <v>0</v>
      </c>
      <c r="M245" s="269">
        <v>0</v>
      </c>
      <c r="N245" s="269">
        <v>0</v>
      </c>
      <c r="O245" s="386">
        <v>0</v>
      </c>
      <c r="P245" s="32">
        <v>0</v>
      </c>
      <c r="Q245" s="32">
        <v>0</v>
      </c>
      <c r="R245" s="32">
        <v>0</v>
      </c>
      <c r="S245" s="32">
        <v>0</v>
      </c>
      <c r="T245" s="32">
        <v>0</v>
      </c>
    </row>
    <row r="249" spans="1:20" ht="18" customHeight="1">
      <c r="C249" s="270">
        <f>+C13+C28+C46+C57+C69+C87+C103+C116+C125+C132+C142+C151+C168+C182+C207+C218+C230+C245</f>
        <v>530</v>
      </c>
      <c r="D249" s="270">
        <f t="shared" ref="D249:T249" si="0">+D13+D28+D46+D57+D69+D87+D103+D116+D125+D132+D142+D151+D168+D182+D207+D218+D230+D245</f>
        <v>429.12</v>
      </c>
      <c r="E249" s="270">
        <f t="shared" si="0"/>
        <v>0</v>
      </c>
      <c r="F249" s="270">
        <f t="shared" si="0"/>
        <v>0</v>
      </c>
      <c r="G249" s="270">
        <f t="shared" si="0"/>
        <v>530</v>
      </c>
      <c r="H249" s="270">
        <f t="shared" si="0"/>
        <v>429.12</v>
      </c>
      <c r="I249" s="270">
        <f t="shared" si="0"/>
        <v>15256</v>
      </c>
      <c r="J249" s="270">
        <f t="shared" si="0"/>
        <v>12063.14</v>
      </c>
      <c r="K249" s="270">
        <f t="shared" si="0"/>
        <v>1788</v>
      </c>
      <c r="L249" s="270">
        <f t="shared" si="0"/>
        <v>1314.2499999999998</v>
      </c>
      <c r="M249" s="270">
        <f t="shared" si="0"/>
        <v>17044</v>
      </c>
      <c r="N249" s="270">
        <f t="shared" si="0"/>
        <v>13377.39</v>
      </c>
      <c r="O249" s="270">
        <f t="shared" si="0"/>
        <v>33</v>
      </c>
      <c r="P249" s="270">
        <f t="shared" si="0"/>
        <v>15.66</v>
      </c>
      <c r="Q249" s="270">
        <f t="shared" si="0"/>
        <v>68</v>
      </c>
      <c r="R249" s="270">
        <f t="shared" si="0"/>
        <v>53.44</v>
      </c>
      <c r="S249" s="270">
        <f t="shared" si="0"/>
        <v>101</v>
      </c>
      <c r="T249" s="270">
        <f t="shared" si="0"/>
        <v>69.099999999999994</v>
      </c>
    </row>
    <row r="253" spans="1:20" ht="18" customHeight="1">
      <c r="N253" s="675"/>
      <c r="O253" s="675"/>
    </row>
  </sheetData>
  <mergeCells count="321">
    <mergeCell ref="A87:B87"/>
    <mergeCell ref="A88:T88"/>
    <mergeCell ref="A89:T89"/>
    <mergeCell ref="A90:A92"/>
    <mergeCell ref="B90:B92"/>
    <mergeCell ref="A72:T72"/>
    <mergeCell ref="A73:T73"/>
    <mergeCell ref="A74:T74"/>
    <mergeCell ref="A75:A77"/>
    <mergeCell ref="B75:B77"/>
    <mergeCell ref="C75:H75"/>
    <mergeCell ref="I75:N75"/>
    <mergeCell ref="O75:T75"/>
    <mergeCell ref="C76:D76"/>
    <mergeCell ref="E76:F76"/>
    <mergeCell ref="S76:T76"/>
    <mergeCell ref="G76:H76"/>
    <mergeCell ref="I76:J76"/>
    <mergeCell ref="K76:L76"/>
    <mergeCell ref="M76:N76"/>
    <mergeCell ref="O76:P76"/>
    <mergeCell ref="Q76:R76"/>
    <mergeCell ref="C90:H90"/>
    <mergeCell ref="I90:N90"/>
    <mergeCell ref="O90:T90"/>
    <mergeCell ref="C91:D91"/>
    <mergeCell ref="Q91:R91"/>
    <mergeCell ref="S91:T91"/>
    <mergeCell ref="A103:B103"/>
    <mergeCell ref="E91:F91"/>
    <mergeCell ref="G91:H91"/>
    <mergeCell ref="I91:J91"/>
    <mergeCell ref="K91:L91"/>
    <mergeCell ref="M91:N91"/>
    <mergeCell ref="O91:P91"/>
    <mergeCell ref="A118:T118"/>
    <mergeCell ref="A119:T119"/>
    <mergeCell ref="A120:T120"/>
    <mergeCell ref="A104:T104"/>
    <mergeCell ref="A105:T105"/>
    <mergeCell ref="A106:A108"/>
    <mergeCell ref="B106:B108"/>
    <mergeCell ref="C106:H106"/>
    <mergeCell ref="I106:N106"/>
    <mergeCell ref="O106:T106"/>
    <mergeCell ref="C107:D107"/>
    <mergeCell ref="E107:F107"/>
    <mergeCell ref="G107:H107"/>
    <mergeCell ref="I107:J107"/>
    <mergeCell ref="K107:L107"/>
    <mergeCell ref="M107:N107"/>
    <mergeCell ref="O107:P107"/>
    <mergeCell ref="Q107:R107"/>
    <mergeCell ref="S107:T107"/>
    <mergeCell ref="A116:B116"/>
    <mergeCell ref="M122:N122"/>
    <mergeCell ref="O122:P122"/>
    <mergeCell ref="Q122:R122"/>
    <mergeCell ref="S122:T122"/>
    <mergeCell ref="A125:B125"/>
    <mergeCell ref="A126:T126"/>
    <mergeCell ref="A121:A123"/>
    <mergeCell ref="B121:B123"/>
    <mergeCell ref="C121:H121"/>
    <mergeCell ref="I121:N121"/>
    <mergeCell ref="O121:T121"/>
    <mergeCell ref="C122:D122"/>
    <mergeCell ref="E122:F122"/>
    <mergeCell ref="G122:H122"/>
    <mergeCell ref="I122:J122"/>
    <mergeCell ref="K122:L122"/>
    <mergeCell ref="K129:L129"/>
    <mergeCell ref="M129:N129"/>
    <mergeCell ref="O129:P129"/>
    <mergeCell ref="Q129:R129"/>
    <mergeCell ref="S129:T129"/>
    <mergeCell ref="A132:B132"/>
    <mergeCell ref="A127:T127"/>
    <mergeCell ref="A128:A130"/>
    <mergeCell ref="B128:B130"/>
    <mergeCell ref="C128:H128"/>
    <mergeCell ref="I128:N128"/>
    <mergeCell ref="O128:T128"/>
    <mergeCell ref="C129:D129"/>
    <mergeCell ref="E129:F129"/>
    <mergeCell ref="G129:H129"/>
    <mergeCell ref="I129:J129"/>
    <mergeCell ref="I136:J136"/>
    <mergeCell ref="K136:L136"/>
    <mergeCell ref="M136:N136"/>
    <mergeCell ref="O136:P136"/>
    <mergeCell ref="Q136:R136"/>
    <mergeCell ref="S136:T136"/>
    <mergeCell ref="A133:T133"/>
    <mergeCell ref="A134:T134"/>
    <mergeCell ref="A135:A137"/>
    <mergeCell ref="B135:B137"/>
    <mergeCell ref="C135:H135"/>
    <mergeCell ref="I135:N135"/>
    <mergeCell ref="O135:T135"/>
    <mergeCell ref="C136:D136"/>
    <mergeCell ref="E136:F136"/>
    <mergeCell ref="G136:H136"/>
    <mergeCell ref="A142:B142"/>
    <mergeCell ref="A143:T143"/>
    <mergeCell ref="A144:T144"/>
    <mergeCell ref="A145:A147"/>
    <mergeCell ref="B145:B147"/>
    <mergeCell ref="C145:H145"/>
    <mergeCell ref="I145:N145"/>
    <mergeCell ref="O145:T145"/>
    <mergeCell ref="C146:D146"/>
    <mergeCell ref="E146:F146"/>
    <mergeCell ref="S146:T146"/>
    <mergeCell ref="G146:H146"/>
    <mergeCell ref="I146:J146"/>
    <mergeCell ref="K146:L146"/>
    <mergeCell ref="M146:N146"/>
    <mergeCell ref="O146:P146"/>
    <mergeCell ref="Q146:R146"/>
    <mergeCell ref="A151:B151"/>
    <mergeCell ref="A155:T155"/>
    <mergeCell ref="A156:T156"/>
    <mergeCell ref="A157:T157"/>
    <mergeCell ref="A158:A160"/>
    <mergeCell ref="B158:B160"/>
    <mergeCell ref="C158:H158"/>
    <mergeCell ref="I158:N158"/>
    <mergeCell ref="O158:T158"/>
    <mergeCell ref="O159:P159"/>
    <mergeCell ref="Q159:R159"/>
    <mergeCell ref="S159:T159"/>
    <mergeCell ref="A168:B168"/>
    <mergeCell ref="A172:T172"/>
    <mergeCell ref="A173:T173"/>
    <mergeCell ref="C159:D159"/>
    <mergeCell ref="E159:F159"/>
    <mergeCell ref="G159:H159"/>
    <mergeCell ref="I159:J159"/>
    <mergeCell ref="K159:L159"/>
    <mergeCell ref="M159:N159"/>
    <mergeCell ref="A174:T174"/>
    <mergeCell ref="A175:A177"/>
    <mergeCell ref="B175:B177"/>
    <mergeCell ref="C175:H175"/>
    <mergeCell ref="I175:N175"/>
    <mergeCell ref="O175:T175"/>
    <mergeCell ref="C176:D176"/>
    <mergeCell ref="E176:F176"/>
    <mergeCell ref="G176:H176"/>
    <mergeCell ref="I176:J176"/>
    <mergeCell ref="S226:T226"/>
    <mergeCell ref="O226:P226"/>
    <mergeCell ref="Q226:R226"/>
    <mergeCell ref="K176:L176"/>
    <mergeCell ref="M176:N176"/>
    <mergeCell ref="O176:P176"/>
    <mergeCell ref="Q176:R176"/>
    <mergeCell ref="S176:T176"/>
    <mergeCell ref="A182:B182"/>
    <mergeCell ref="G214:H214"/>
    <mergeCell ref="I214:J214"/>
    <mergeCell ref="K214:L214"/>
    <mergeCell ref="M214:N214"/>
    <mergeCell ref="O214:P214"/>
    <mergeCell ref="Q214:R214"/>
    <mergeCell ref="A213:A215"/>
    <mergeCell ref="B213:B215"/>
    <mergeCell ref="C213:H213"/>
    <mergeCell ref="I213:N213"/>
    <mergeCell ref="O213:T213"/>
    <mergeCell ref="C214:D214"/>
    <mergeCell ref="E214:F214"/>
    <mergeCell ref="I186:J186"/>
    <mergeCell ref="K186:L186"/>
    <mergeCell ref="A245:B245"/>
    <mergeCell ref="A235:T235"/>
    <mergeCell ref="A236:A238"/>
    <mergeCell ref="B236:B238"/>
    <mergeCell ref="C236:H236"/>
    <mergeCell ref="I236:N236"/>
    <mergeCell ref="O236:T236"/>
    <mergeCell ref="C237:D237"/>
    <mergeCell ref="E237:F237"/>
    <mergeCell ref="G237:H237"/>
    <mergeCell ref="I237:J237"/>
    <mergeCell ref="K237:L237"/>
    <mergeCell ref="M237:N237"/>
    <mergeCell ref="O237:P237"/>
    <mergeCell ref="Q237:R237"/>
    <mergeCell ref="M186:N186"/>
    <mergeCell ref="O186:P186"/>
    <mergeCell ref="Q186:R186"/>
    <mergeCell ref="S186:T186"/>
    <mergeCell ref="A183:T183"/>
    <mergeCell ref="A184:T184"/>
    <mergeCell ref="A185:A187"/>
    <mergeCell ref="B185:B187"/>
    <mergeCell ref="C185:H185"/>
    <mergeCell ref="I185:N185"/>
    <mergeCell ref="O185:T185"/>
    <mergeCell ref="C186:D186"/>
    <mergeCell ref="E186:F186"/>
    <mergeCell ref="G186:H186"/>
    <mergeCell ref="A207:B207"/>
    <mergeCell ref="A211:T211"/>
    <mergeCell ref="A212:T212"/>
    <mergeCell ref="S237:T237"/>
    <mergeCell ref="A230:B230"/>
    <mergeCell ref="A233:T233"/>
    <mergeCell ref="A234:T234"/>
    <mergeCell ref="A232:B232"/>
    <mergeCell ref="C226:D226"/>
    <mergeCell ref="E226:F226"/>
    <mergeCell ref="G226:H226"/>
    <mergeCell ref="I226:J226"/>
    <mergeCell ref="K226:L226"/>
    <mergeCell ref="M226:N226"/>
    <mergeCell ref="S214:T214"/>
    <mergeCell ref="A218:B218"/>
    <mergeCell ref="A222:T222"/>
    <mergeCell ref="A223:T223"/>
    <mergeCell ref="A224:T224"/>
    <mergeCell ref="A225:A227"/>
    <mergeCell ref="B225:B227"/>
    <mergeCell ref="C225:H225"/>
    <mergeCell ref="I225:N225"/>
    <mergeCell ref="O225:T225"/>
    <mergeCell ref="A1:B1"/>
    <mergeCell ref="A2:T2"/>
    <mergeCell ref="A3:T3"/>
    <mergeCell ref="A4:T4"/>
    <mergeCell ref="A5:A7"/>
    <mergeCell ref="B5:B7"/>
    <mergeCell ref="C5:H5"/>
    <mergeCell ref="I5:N5"/>
    <mergeCell ref="O5:T5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A13:B13"/>
    <mergeCell ref="A14:T14"/>
    <mergeCell ref="A15:T15"/>
    <mergeCell ref="A16:A18"/>
    <mergeCell ref="B16:B18"/>
    <mergeCell ref="C16:H16"/>
    <mergeCell ref="I16:N16"/>
    <mergeCell ref="O16:T16"/>
    <mergeCell ref="C17:D17"/>
    <mergeCell ref="E17:F17"/>
    <mergeCell ref="G17:H17"/>
    <mergeCell ref="I17:J17"/>
    <mergeCell ref="K17:L17"/>
    <mergeCell ref="M17:N17"/>
    <mergeCell ref="O17:P17"/>
    <mergeCell ref="Q17:R17"/>
    <mergeCell ref="S17:T17"/>
    <mergeCell ref="A28:B28"/>
    <mergeCell ref="A29:T29"/>
    <mergeCell ref="A30:T30"/>
    <mergeCell ref="A31:A33"/>
    <mergeCell ref="B31:B33"/>
    <mergeCell ref="C31:H31"/>
    <mergeCell ref="I31:N31"/>
    <mergeCell ref="O31:T31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A46:B46"/>
    <mergeCell ref="A47:T47"/>
    <mergeCell ref="A48:T48"/>
    <mergeCell ref="A49:A51"/>
    <mergeCell ref="B49:B51"/>
    <mergeCell ref="C49:H49"/>
    <mergeCell ref="I49:N49"/>
    <mergeCell ref="O49:T49"/>
    <mergeCell ref="C50:D50"/>
    <mergeCell ref="E50:F50"/>
    <mergeCell ref="G50:H50"/>
    <mergeCell ref="I50:J50"/>
    <mergeCell ref="K50:L50"/>
    <mergeCell ref="M50:N50"/>
    <mergeCell ref="O50:P50"/>
    <mergeCell ref="Q50:R50"/>
    <mergeCell ref="S50:T50"/>
    <mergeCell ref="N253:O253"/>
    <mergeCell ref="A69:B69"/>
    <mergeCell ref="A57:B57"/>
    <mergeCell ref="A59:T59"/>
    <mergeCell ref="A60:T60"/>
    <mergeCell ref="A61:A63"/>
    <mergeCell ref="B61:B63"/>
    <mergeCell ref="C61:H61"/>
    <mergeCell ref="I61:N61"/>
    <mergeCell ref="O61:T61"/>
    <mergeCell ref="C62:D62"/>
    <mergeCell ref="E62:F62"/>
    <mergeCell ref="G62:H62"/>
    <mergeCell ref="I62:J62"/>
    <mergeCell ref="K62:L62"/>
    <mergeCell ref="M62:N62"/>
    <mergeCell ref="O62:P62"/>
    <mergeCell ref="Q62:R62"/>
    <mergeCell ref="S62:T62"/>
    <mergeCell ref="A221:B221"/>
    <mergeCell ref="A71:B71"/>
    <mergeCell ref="A117:B117"/>
    <mergeCell ref="A154:B154"/>
    <mergeCell ref="A171:B171"/>
  </mergeCells>
  <printOptions horizontalCentered="1"/>
  <pageMargins left="0.35433070866141736" right="0.23622047244094491" top="0.31496062992125984" bottom="0.35433070866141736" header="0.27559055118110237" footer="0.31496062992125984"/>
  <pageSetup paperSize="9" scale="60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44"/>
  <sheetViews>
    <sheetView topLeftCell="A37" workbookViewId="0">
      <selection activeCell="G48" sqref="G48"/>
    </sheetView>
  </sheetViews>
  <sheetFormatPr defaultRowHeight="28.5" customHeight="1"/>
  <cols>
    <col min="1" max="1" width="5.5703125" style="279" bestFit="1" customWidth="1"/>
    <col min="2" max="2" width="43.140625" style="279" customWidth="1"/>
    <col min="3" max="12" width="6.7109375" style="279" customWidth="1"/>
    <col min="13" max="13" width="8.7109375" style="279" customWidth="1"/>
    <col min="14" max="16384" width="9.140625" style="279"/>
  </cols>
  <sheetData>
    <row r="1" spans="1:13" s="69" customFormat="1" ht="28.5" customHeight="1">
      <c r="A1" s="700" t="s">
        <v>301</v>
      </c>
      <c r="B1" s="697" t="s">
        <v>370</v>
      </c>
      <c r="C1" s="706" t="s">
        <v>371</v>
      </c>
      <c r="D1" s="706"/>
      <c r="E1" s="706"/>
      <c r="F1" s="706"/>
      <c r="G1" s="706"/>
      <c r="H1" s="706"/>
      <c r="I1" s="706"/>
      <c r="J1" s="706"/>
      <c r="K1" s="706"/>
      <c r="L1" s="706"/>
      <c r="M1" s="706"/>
    </row>
    <row r="2" spans="1:13" s="69" customFormat="1" ht="28.5" customHeight="1">
      <c r="A2" s="701"/>
      <c r="B2" s="698"/>
      <c r="C2" s="706" t="s">
        <v>372</v>
      </c>
      <c r="D2" s="706"/>
      <c r="E2" s="706" t="s">
        <v>373</v>
      </c>
      <c r="F2" s="706"/>
      <c r="G2" s="706" t="s">
        <v>374</v>
      </c>
      <c r="H2" s="706"/>
      <c r="I2" s="706" t="s">
        <v>375</v>
      </c>
      <c r="J2" s="706"/>
      <c r="K2" s="706" t="s">
        <v>376</v>
      </c>
      <c r="L2" s="706"/>
      <c r="M2" s="703" t="s">
        <v>8</v>
      </c>
    </row>
    <row r="3" spans="1:13" s="69" customFormat="1" ht="28.5" customHeight="1">
      <c r="A3" s="702"/>
      <c r="B3" s="699"/>
      <c r="C3" s="275" t="s">
        <v>377</v>
      </c>
      <c r="D3" s="275" t="s">
        <v>378</v>
      </c>
      <c r="E3" s="275" t="s">
        <v>377</v>
      </c>
      <c r="F3" s="275" t="s">
        <v>378</v>
      </c>
      <c r="G3" s="275" t="s">
        <v>377</v>
      </c>
      <c r="H3" s="275" t="s">
        <v>378</v>
      </c>
      <c r="I3" s="275" t="s">
        <v>377</v>
      </c>
      <c r="J3" s="275" t="s">
        <v>378</v>
      </c>
      <c r="K3" s="275" t="s">
        <v>377</v>
      </c>
      <c r="L3" s="275" t="s">
        <v>378</v>
      </c>
      <c r="M3" s="704"/>
    </row>
    <row r="4" spans="1:13" ht="28.5" customHeight="1">
      <c r="A4" s="276">
        <v>1</v>
      </c>
      <c r="B4" s="276" t="s">
        <v>379</v>
      </c>
      <c r="C4" s="277">
        <v>0</v>
      </c>
      <c r="D4" s="277">
        <v>0</v>
      </c>
      <c r="E4" s="277">
        <v>5</v>
      </c>
      <c r="F4" s="277">
        <v>6</v>
      </c>
      <c r="G4" s="277">
        <v>0</v>
      </c>
      <c r="H4" s="277">
        <v>0</v>
      </c>
      <c r="I4" s="277">
        <v>11</v>
      </c>
      <c r="J4" s="277">
        <v>1</v>
      </c>
      <c r="K4" s="277">
        <v>14</v>
      </c>
      <c r="L4" s="277">
        <v>2</v>
      </c>
      <c r="M4" s="278">
        <v>39</v>
      </c>
    </row>
    <row r="5" spans="1:13" ht="28.5" customHeight="1">
      <c r="A5" s="276">
        <v>2</v>
      </c>
      <c r="B5" s="276" t="s">
        <v>287</v>
      </c>
      <c r="C5" s="277">
        <v>0</v>
      </c>
      <c r="D5" s="277">
        <v>3</v>
      </c>
      <c r="E5" s="277">
        <v>3</v>
      </c>
      <c r="F5" s="277">
        <v>19</v>
      </c>
      <c r="G5" s="277">
        <v>0</v>
      </c>
      <c r="H5" s="277">
        <v>0</v>
      </c>
      <c r="I5" s="277">
        <v>1</v>
      </c>
      <c r="J5" s="277">
        <v>0</v>
      </c>
      <c r="K5" s="277">
        <v>0</v>
      </c>
      <c r="L5" s="277">
        <v>16</v>
      </c>
      <c r="M5" s="278">
        <v>42</v>
      </c>
    </row>
    <row r="6" spans="1:13" ht="28.5" customHeight="1">
      <c r="A6" s="276">
        <v>3</v>
      </c>
      <c r="B6" s="276" t="s">
        <v>380</v>
      </c>
      <c r="C6" s="277">
        <v>0</v>
      </c>
      <c r="D6" s="277">
        <v>0</v>
      </c>
      <c r="E6" s="277">
        <v>1</v>
      </c>
      <c r="F6" s="277">
        <v>8</v>
      </c>
      <c r="G6" s="277">
        <v>0</v>
      </c>
      <c r="H6" s="277">
        <v>0</v>
      </c>
      <c r="I6" s="277">
        <v>0</v>
      </c>
      <c r="J6" s="277">
        <v>0</v>
      </c>
      <c r="K6" s="277">
        <v>0</v>
      </c>
      <c r="L6" s="277">
        <v>0</v>
      </c>
      <c r="M6" s="278">
        <v>9</v>
      </c>
    </row>
    <row r="7" spans="1:13" ht="28.5" customHeight="1">
      <c r="A7" s="276">
        <v>4</v>
      </c>
      <c r="B7" s="276" t="s">
        <v>288</v>
      </c>
      <c r="C7" s="277">
        <v>0</v>
      </c>
      <c r="D7" s="277">
        <v>0</v>
      </c>
      <c r="E7" s="277">
        <v>2</v>
      </c>
      <c r="F7" s="277">
        <v>8</v>
      </c>
      <c r="G7" s="277">
        <v>0</v>
      </c>
      <c r="H7" s="277">
        <v>0</v>
      </c>
      <c r="I7" s="277">
        <v>0</v>
      </c>
      <c r="J7" s="277">
        <v>0</v>
      </c>
      <c r="K7" s="277">
        <v>0</v>
      </c>
      <c r="L7" s="277">
        <v>2</v>
      </c>
      <c r="M7" s="278">
        <v>12</v>
      </c>
    </row>
    <row r="8" spans="1:13" ht="28.5" customHeight="1">
      <c r="A8" s="276">
        <v>5</v>
      </c>
      <c r="B8" s="276" t="s">
        <v>292</v>
      </c>
      <c r="C8" s="277">
        <v>0</v>
      </c>
      <c r="D8" s="277">
        <v>0</v>
      </c>
      <c r="E8" s="277">
        <v>1</v>
      </c>
      <c r="F8" s="277">
        <v>3</v>
      </c>
      <c r="G8" s="277">
        <v>0</v>
      </c>
      <c r="H8" s="277">
        <v>0</v>
      </c>
      <c r="I8" s="277">
        <v>0</v>
      </c>
      <c r="J8" s="277">
        <v>0</v>
      </c>
      <c r="K8" s="277">
        <v>0</v>
      </c>
      <c r="L8" s="277">
        <v>3</v>
      </c>
      <c r="M8" s="278">
        <v>7</v>
      </c>
    </row>
    <row r="9" spans="1:13" ht="28.5" customHeight="1">
      <c r="A9" s="276">
        <v>6</v>
      </c>
      <c r="B9" s="276" t="s">
        <v>381</v>
      </c>
      <c r="C9" s="277">
        <v>0</v>
      </c>
      <c r="D9" s="277">
        <v>0</v>
      </c>
      <c r="E9" s="277">
        <v>1</v>
      </c>
      <c r="F9" s="277">
        <v>8</v>
      </c>
      <c r="G9" s="277">
        <v>0</v>
      </c>
      <c r="H9" s="277">
        <v>0</v>
      </c>
      <c r="I9" s="277">
        <v>0</v>
      </c>
      <c r="J9" s="277">
        <v>0</v>
      </c>
      <c r="K9" s="277">
        <v>4</v>
      </c>
      <c r="L9" s="277">
        <v>3</v>
      </c>
      <c r="M9" s="278">
        <v>16</v>
      </c>
    </row>
    <row r="10" spans="1:13" ht="28.5" customHeight="1">
      <c r="A10" s="276">
        <v>7</v>
      </c>
      <c r="B10" s="276" t="s">
        <v>291</v>
      </c>
      <c r="C10" s="277">
        <v>0</v>
      </c>
      <c r="D10" s="277">
        <v>0</v>
      </c>
      <c r="E10" s="277">
        <v>1</v>
      </c>
      <c r="F10" s="277">
        <v>3</v>
      </c>
      <c r="G10" s="277">
        <v>0</v>
      </c>
      <c r="H10" s="277">
        <v>0</v>
      </c>
      <c r="I10" s="277">
        <v>0</v>
      </c>
      <c r="J10" s="277">
        <v>0</v>
      </c>
      <c r="K10" s="277">
        <v>1</v>
      </c>
      <c r="L10" s="277">
        <v>2</v>
      </c>
      <c r="M10" s="278">
        <v>7</v>
      </c>
    </row>
    <row r="11" spans="1:13" ht="28.5" customHeight="1">
      <c r="A11" s="276">
        <v>8</v>
      </c>
      <c r="B11" s="276" t="s">
        <v>382</v>
      </c>
      <c r="C11" s="277">
        <v>1</v>
      </c>
      <c r="D11" s="277">
        <v>0</v>
      </c>
      <c r="E11" s="277">
        <v>2</v>
      </c>
      <c r="F11" s="277">
        <v>3</v>
      </c>
      <c r="G11" s="277">
        <v>0</v>
      </c>
      <c r="H11" s="277">
        <v>0</v>
      </c>
      <c r="I11" s="277">
        <v>0</v>
      </c>
      <c r="J11" s="277">
        <v>0</v>
      </c>
      <c r="K11" s="277">
        <v>3</v>
      </c>
      <c r="L11" s="277">
        <v>2</v>
      </c>
      <c r="M11" s="278">
        <v>11</v>
      </c>
    </row>
    <row r="12" spans="1:13" ht="28.5" customHeight="1">
      <c r="A12" s="276">
        <v>9</v>
      </c>
      <c r="B12" s="276" t="s">
        <v>383</v>
      </c>
      <c r="C12" s="277">
        <v>19</v>
      </c>
      <c r="D12" s="277">
        <v>7</v>
      </c>
      <c r="E12" s="277">
        <v>4</v>
      </c>
      <c r="F12" s="277">
        <v>6</v>
      </c>
      <c r="G12" s="277">
        <v>3</v>
      </c>
      <c r="H12" s="277">
        <v>2</v>
      </c>
      <c r="I12" s="277">
        <v>0</v>
      </c>
      <c r="J12" s="277">
        <v>0</v>
      </c>
      <c r="K12" s="277">
        <v>0</v>
      </c>
      <c r="L12" s="277">
        <v>4</v>
      </c>
      <c r="M12" s="278">
        <v>45</v>
      </c>
    </row>
    <row r="13" spans="1:13" ht="28.5" customHeight="1">
      <c r="A13" s="276">
        <v>10</v>
      </c>
      <c r="B13" s="276" t="s">
        <v>384</v>
      </c>
      <c r="C13" s="277">
        <v>26</v>
      </c>
      <c r="D13" s="277">
        <v>10</v>
      </c>
      <c r="E13" s="277">
        <v>7</v>
      </c>
      <c r="F13" s="277">
        <v>10</v>
      </c>
      <c r="G13" s="277">
        <v>2</v>
      </c>
      <c r="H13" s="277">
        <v>2</v>
      </c>
      <c r="I13" s="277">
        <v>6</v>
      </c>
      <c r="J13" s="277">
        <v>1</v>
      </c>
      <c r="K13" s="277">
        <v>7</v>
      </c>
      <c r="L13" s="277">
        <v>11</v>
      </c>
      <c r="M13" s="278">
        <v>82</v>
      </c>
    </row>
    <row r="14" spans="1:13" ht="28.5" customHeight="1">
      <c r="A14" s="276">
        <v>11</v>
      </c>
      <c r="B14" s="276" t="s">
        <v>60</v>
      </c>
      <c r="C14" s="277">
        <v>8</v>
      </c>
      <c r="D14" s="277">
        <v>1</v>
      </c>
      <c r="E14" s="277">
        <v>14</v>
      </c>
      <c r="F14" s="277">
        <v>14</v>
      </c>
      <c r="G14" s="277">
        <v>1</v>
      </c>
      <c r="H14" s="277">
        <v>0</v>
      </c>
      <c r="I14" s="277">
        <v>1</v>
      </c>
      <c r="J14" s="277">
        <v>1</v>
      </c>
      <c r="K14" s="277">
        <v>12</v>
      </c>
      <c r="L14" s="277">
        <v>2</v>
      </c>
      <c r="M14" s="278">
        <v>54</v>
      </c>
    </row>
    <row r="15" spans="1:13" ht="28.5" customHeight="1">
      <c r="A15" s="276">
        <v>12</v>
      </c>
      <c r="B15" s="276" t="s">
        <v>385</v>
      </c>
      <c r="C15" s="277">
        <v>1</v>
      </c>
      <c r="D15" s="277">
        <v>15</v>
      </c>
      <c r="E15" s="277">
        <v>14</v>
      </c>
      <c r="F15" s="277">
        <v>27</v>
      </c>
      <c r="G15" s="277">
        <v>1</v>
      </c>
      <c r="H15" s="277">
        <v>0</v>
      </c>
      <c r="I15" s="277">
        <v>0</v>
      </c>
      <c r="J15" s="277">
        <v>0</v>
      </c>
      <c r="K15" s="277">
        <v>13</v>
      </c>
      <c r="L15" s="277">
        <v>30</v>
      </c>
      <c r="M15" s="278">
        <v>101</v>
      </c>
    </row>
    <row r="16" spans="1:13" ht="28.5" customHeight="1">
      <c r="A16" s="276">
        <v>13</v>
      </c>
      <c r="B16" s="276" t="s">
        <v>46</v>
      </c>
      <c r="C16" s="277">
        <v>8</v>
      </c>
      <c r="D16" s="277">
        <v>27</v>
      </c>
      <c r="E16" s="277">
        <v>5</v>
      </c>
      <c r="F16" s="277">
        <v>24</v>
      </c>
      <c r="G16" s="277">
        <v>0</v>
      </c>
      <c r="H16" s="277">
        <v>2</v>
      </c>
      <c r="I16" s="277">
        <v>1</v>
      </c>
      <c r="J16" s="277">
        <v>0</v>
      </c>
      <c r="K16" s="277">
        <v>14</v>
      </c>
      <c r="L16" s="277">
        <v>20</v>
      </c>
      <c r="M16" s="278">
        <v>101</v>
      </c>
    </row>
    <row r="17" spans="1:13" ht="28.5" customHeight="1">
      <c r="A17" s="276">
        <v>14</v>
      </c>
      <c r="B17" s="276" t="s">
        <v>386</v>
      </c>
      <c r="C17" s="277">
        <v>6</v>
      </c>
      <c r="D17" s="277">
        <v>6</v>
      </c>
      <c r="E17" s="277">
        <v>4</v>
      </c>
      <c r="F17" s="277">
        <v>8</v>
      </c>
      <c r="G17" s="277">
        <v>0</v>
      </c>
      <c r="H17" s="277">
        <v>1</v>
      </c>
      <c r="I17" s="277">
        <v>0</v>
      </c>
      <c r="J17" s="277">
        <v>0</v>
      </c>
      <c r="K17" s="277">
        <v>0</v>
      </c>
      <c r="L17" s="277">
        <v>0</v>
      </c>
      <c r="M17" s="278">
        <v>25</v>
      </c>
    </row>
    <row r="18" spans="1:13" ht="28.5" customHeight="1">
      <c r="A18" s="276">
        <v>15</v>
      </c>
      <c r="B18" s="276" t="s">
        <v>387</v>
      </c>
      <c r="C18" s="277">
        <v>17</v>
      </c>
      <c r="D18" s="277">
        <v>14</v>
      </c>
      <c r="E18" s="277">
        <v>14</v>
      </c>
      <c r="F18" s="277">
        <v>34</v>
      </c>
      <c r="G18" s="277">
        <v>1</v>
      </c>
      <c r="H18" s="277">
        <v>3</v>
      </c>
      <c r="I18" s="277">
        <v>0</v>
      </c>
      <c r="J18" s="277">
        <v>2</v>
      </c>
      <c r="K18" s="277">
        <v>9</v>
      </c>
      <c r="L18" s="277">
        <v>24</v>
      </c>
      <c r="M18" s="278">
        <v>118</v>
      </c>
    </row>
    <row r="19" spans="1:13" ht="28.5" customHeight="1">
      <c r="A19" s="276">
        <v>16</v>
      </c>
      <c r="B19" s="276" t="s">
        <v>57</v>
      </c>
      <c r="C19" s="277">
        <v>28</v>
      </c>
      <c r="D19" s="277">
        <v>12</v>
      </c>
      <c r="E19" s="277">
        <v>10</v>
      </c>
      <c r="F19" s="277">
        <v>37</v>
      </c>
      <c r="G19" s="277">
        <v>3</v>
      </c>
      <c r="H19" s="277">
        <v>8</v>
      </c>
      <c r="I19" s="277">
        <v>0</v>
      </c>
      <c r="J19" s="277">
        <v>0</v>
      </c>
      <c r="K19" s="277">
        <v>11</v>
      </c>
      <c r="L19" s="277">
        <v>12</v>
      </c>
      <c r="M19" s="278">
        <v>121</v>
      </c>
    </row>
    <row r="20" spans="1:13" ht="28.5" customHeight="1">
      <c r="A20" s="276">
        <v>17</v>
      </c>
      <c r="B20" s="276" t="s">
        <v>59</v>
      </c>
      <c r="C20" s="277">
        <v>58</v>
      </c>
      <c r="D20" s="277">
        <v>9</v>
      </c>
      <c r="E20" s="277">
        <v>29</v>
      </c>
      <c r="F20" s="277">
        <v>18</v>
      </c>
      <c r="G20" s="277">
        <v>1</v>
      </c>
      <c r="H20" s="277">
        <v>0</v>
      </c>
      <c r="I20" s="277">
        <v>3</v>
      </c>
      <c r="J20" s="277">
        <v>0</v>
      </c>
      <c r="K20" s="277">
        <v>11</v>
      </c>
      <c r="L20" s="277">
        <v>14</v>
      </c>
      <c r="M20" s="278">
        <v>143</v>
      </c>
    </row>
    <row r="21" spans="1:13" ht="28.5" customHeight="1">
      <c r="A21" s="276">
        <v>18</v>
      </c>
      <c r="B21" s="276" t="s">
        <v>51</v>
      </c>
      <c r="C21" s="277">
        <v>14</v>
      </c>
      <c r="D21" s="277">
        <v>30</v>
      </c>
      <c r="E21" s="277">
        <v>19</v>
      </c>
      <c r="F21" s="277">
        <v>39</v>
      </c>
      <c r="G21" s="277">
        <v>1</v>
      </c>
      <c r="H21" s="277">
        <v>1</v>
      </c>
      <c r="I21" s="277">
        <v>3</v>
      </c>
      <c r="J21" s="277">
        <v>1</v>
      </c>
      <c r="K21" s="277">
        <v>9</v>
      </c>
      <c r="L21" s="277">
        <v>13</v>
      </c>
      <c r="M21" s="278">
        <v>130</v>
      </c>
    </row>
    <row r="22" spans="1:13" ht="28.5" customHeight="1">
      <c r="A22" s="276">
        <v>19</v>
      </c>
      <c r="B22" s="276" t="s">
        <v>49</v>
      </c>
      <c r="C22" s="277">
        <v>12</v>
      </c>
      <c r="D22" s="277">
        <v>5</v>
      </c>
      <c r="E22" s="277">
        <v>10</v>
      </c>
      <c r="F22" s="277">
        <v>19</v>
      </c>
      <c r="G22" s="277">
        <v>1</v>
      </c>
      <c r="H22" s="277">
        <v>0</v>
      </c>
      <c r="I22" s="277">
        <v>0</v>
      </c>
      <c r="J22" s="277">
        <v>0</v>
      </c>
      <c r="K22" s="277">
        <v>4</v>
      </c>
      <c r="L22" s="277">
        <v>6</v>
      </c>
      <c r="M22" s="278">
        <v>57</v>
      </c>
    </row>
    <row r="23" spans="1:13" ht="28.5" customHeight="1">
      <c r="A23" s="276">
        <v>20</v>
      </c>
      <c r="B23" s="276" t="s">
        <v>388</v>
      </c>
      <c r="C23" s="277">
        <v>3</v>
      </c>
      <c r="D23" s="277">
        <v>0</v>
      </c>
      <c r="E23" s="277">
        <v>13</v>
      </c>
      <c r="F23" s="277">
        <v>38</v>
      </c>
      <c r="G23" s="277">
        <v>0</v>
      </c>
      <c r="H23" s="277">
        <v>0</v>
      </c>
      <c r="I23" s="277">
        <v>0</v>
      </c>
      <c r="J23" s="277">
        <v>0</v>
      </c>
      <c r="K23" s="277">
        <v>4</v>
      </c>
      <c r="L23" s="277">
        <v>19</v>
      </c>
      <c r="M23" s="278">
        <v>77</v>
      </c>
    </row>
    <row r="24" spans="1:13" ht="28.5" customHeight="1">
      <c r="A24" s="276">
        <v>21</v>
      </c>
      <c r="B24" s="276" t="s">
        <v>389</v>
      </c>
      <c r="C24" s="277">
        <v>5</v>
      </c>
      <c r="D24" s="277">
        <v>13</v>
      </c>
      <c r="E24" s="277">
        <v>5</v>
      </c>
      <c r="F24" s="277">
        <v>5</v>
      </c>
      <c r="G24" s="277">
        <v>0</v>
      </c>
      <c r="H24" s="277">
        <v>1</v>
      </c>
      <c r="I24" s="277">
        <v>0</v>
      </c>
      <c r="J24" s="277">
        <v>0</v>
      </c>
      <c r="K24" s="277">
        <v>2</v>
      </c>
      <c r="L24" s="277">
        <v>2</v>
      </c>
      <c r="M24" s="278">
        <v>33</v>
      </c>
    </row>
    <row r="25" spans="1:13" ht="28.5" customHeight="1">
      <c r="A25" s="276">
        <v>22</v>
      </c>
      <c r="B25" s="276" t="s">
        <v>390</v>
      </c>
      <c r="C25" s="277">
        <v>0</v>
      </c>
      <c r="D25" s="277">
        <v>0</v>
      </c>
      <c r="E25" s="277">
        <v>2</v>
      </c>
      <c r="F25" s="277">
        <v>0</v>
      </c>
      <c r="G25" s="277">
        <v>0</v>
      </c>
      <c r="H25" s="277">
        <v>0</v>
      </c>
      <c r="I25" s="277">
        <v>0</v>
      </c>
      <c r="J25" s="277">
        <v>0</v>
      </c>
      <c r="K25" s="277">
        <v>0</v>
      </c>
      <c r="L25" s="277">
        <v>0</v>
      </c>
      <c r="M25" s="278">
        <v>2</v>
      </c>
    </row>
    <row r="26" spans="1:13" ht="28.5" customHeight="1">
      <c r="A26" s="276">
        <v>23</v>
      </c>
      <c r="B26" s="276" t="s">
        <v>391</v>
      </c>
      <c r="C26" s="277">
        <v>0</v>
      </c>
      <c r="D26" s="277">
        <v>0</v>
      </c>
      <c r="E26" s="277">
        <v>0</v>
      </c>
      <c r="F26" s="277">
        <v>0</v>
      </c>
      <c r="G26" s="277">
        <v>0</v>
      </c>
      <c r="H26" s="277">
        <v>0</v>
      </c>
      <c r="I26" s="277">
        <v>0</v>
      </c>
      <c r="J26" s="277">
        <v>0</v>
      </c>
      <c r="K26" s="277">
        <v>18</v>
      </c>
      <c r="L26" s="277">
        <v>2</v>
      </c>
      <c r="M26" s="278">
        <v>20</v>
      </c>
    </row>
    <row r="27" spans="1:13" ht="28.5" customHeight="1">
      <c r="A27" s="276">
        <v>24</v>
      </c>
      <c r="B27" s="276" t="s">
        <v>392</v>
      </c>
      <c r="C27" s="277">
        <v>0</v>
      </c>
      <c r="D27" s="277">
        <v>0</v>
      </c>
      <c r="E27" s="277">
        <v>0</v>
      </c>
      <c r="F27" s="277">
        <v>0</v>
      </c>
      <c r="G27" s="277">
        <v>0</v>
      </c>
      <c r="H27" s="277">
        <v>0</v>
      </c>
      <c r="I27" s="277">
        <v>0</v>
      </c>
      <c r="J27" s="277">
        <v>0</v>
      </c>
      <c r="K27" s="277">
        <v>14</v>
      </c>
      <c r="L27" s="277">
        <v>9</v>
      </c>
      <c r="M27" s="278">
        <v>23</v>
      </c>
    </row>
    <row r="28" spans="1:13" ht="28.5" customHeight="1">
      <c r="A28" s="276">
        <v>25</v>
      </c>
      <c r="B28" s="276" t="s">
        <v>393</v>
      </c>
      <c r="C28" s="277">
        <v>0</v>
      </c>
      <c r="D28" s="277">
        <v>0</v>
      </c>
      <c r="E28" s="277">
        <v>0</v>
      </c>
      <c r="F28" s="277">
        <v>0</v>
      </c>
      <c r="G28" s="277">
        <v>0</v>
      </c>
      <c r="H28" s="277">
        <v>0</v>
      </c>
      <c r="I28" s="277">
        <v>0</v>
      </c>
      <c r="J28" s="277">
        <v>0</v>
      </c>
      <c r="K28" s="277">
        <v>2</v>
      </c>
      <c r="L28" s="277">
        <v>2</v>
      </c>
      <c r="M28" s="278">
        <v>4</v>
      </c>
    </row>
    <row r="29" spans="1:13" ht="28.5" customHeight="1">
      <c r="A29" s="276">
        <v>26</v>
      </c>
      <c r="B29" s="276" t="s">
        <v>349</v>
      </c>
      <c r="C29" s="277">
        <v>1</v>
      </c>
      <c r="D29" s="277">
        <v>3</v>
      </c>
      <c r="E29" s="277">
        <v>4</v>
      </c>
      <c r="F29" s="277">
        <v>25</v>
      </c>
      <c r="G29" s="277">
        <v>0</v>
      </c>
      <c r="H29" s="277">
        <v>1</v>
      </c>
      <c r="I29" s="277">
        <v>0</v>
      </c>
      <c r="J29" s="277">
        <v>0</v>
      </c>
      <c r="K29" s="277">
        <v>10</v>
      </c>
      <c r="L29" s="277">
        <v>7</v>
      </c>
      <c r="M29" s="278">
        <v>51</v>
      </c>
    </row>
    <row r="30" spans="1:13" ht="28.5" customHeight="1">
      <c r="A30" s="276">
        <v>27</v>
      </c>
      <c r="B30" s="276" t="s">
        <v>61</v>
      </c>
      <c r="C30" s="277">
        <v>6</v>
      </c>
      <c r="D30" s="277">
        <v>9</v>
      </c>
      <c r="E30" s="277">
        <v>20</v>
      </c>
      <c r="F30" s="277">
        <v>29</v>
      </c>
      <c r="G30" s="277">
        <v>2</v>
      </c>
      <c r="H30" s="277">
        <v>6</v>
      </c>
      <c r="I30" s="277">
        <v>0</v>
      </c>
      <c r="J30" s="277">
        <v>0</v>
      </c>
      <c r="K30" s="277">
        <v>11</v>
      </c>
      <c r="L30" s="277">
        <v>13</v>
      </c>
      <c r="M30" s="278">
        <v>96</v>
      </c>
    </row>
    <row r="31" spans="1:13" ht="28.5" customHeight="1">
      <c r="A31" s="276">
        <v>28</v>
      </c>
      <c r="B31" s="276" t="s">
        <v>62</v>
      </c>
      <c r="C31" s="277">
        <v>4</v>
      </c>
      <c r="D31" s="277">
        <v>1</v>
      </c>
      <c r="E31" s="277">
        <v>15</v>
      </c>
      <c r="F31" s="277">
        <v>16</v>
      </c>
      <c r="G31" s="277">
        <v>0</v>
      </c>
      <c r="H31" s="277">
        <v>0</v>
      </c>
      <c r="I31" s="277">
        <v>2</v>
      </c>
      <c r="J31" s="277">
        <v>1</v>
      </c>
      <c r="K31" s="277">
        <v>10</v>
      </c>
      <c r="L31" s="277">
        <v>3</v>
      </c>
      <c r="M31" s="278">
        <v>52</v>
      </c>
    </row>
    <row r="32" spans="1:13" ht="28.5" customHeight="1">
      <c r="A32" s="276">
        <v>29</v>
      </c>
      <c r="B32" s="276" t="s">
        <v>394</v>
      </c>
      <c r="C32" s="277">
        <v>0</v>
      </c>
      <c r="D32" s="277">
        <v>0</v>
      </c>
      <c r="E32" s="277">
        <v>6</v>
      </c>
      <c r="F32" s="277">
        <v>6</v>
      </c>
      <c r="G32" s="277">
        <v>1</v>
      </c>
      <c r="H32" s="277">
        <v>0</v>
      </c>
      <c r="I32" s="277">
        <v>0</v>
      </c>
      <c r="J32" s="277">
        <v>0</v>
      </c>
      <c r="K32" s="277">
        <v>9</v>
      </c>
      <c r="L32" s="277">
        <v>5</v>
      </c>
      <c r="M32" s="278">
        <v>27</v>
      </c>
    </row>
    <row r="33" spans="1:13" ht="28.5" customHeight="1">
      <c r="A33" s="276">
        <v>30</v>
      </c>
      <c r="B33" s="276" t="s">
        <v>395</v>
      </c>
      <c r="C33" s="277">
        <v>0</v>
      </c>
      <c r="D33" s="277">
        <v>0</v>
      </c>
      <c r="E33" s="277">
        <v>2</v>
      </c>
      <c r="F33" s="277">
        <v>4</v>
      </c>
      <c r="G33" s="277">
        <v>0</v>
      </c>
      <c r="H33" s="277">
        <v>0</v>
      </c>
      <c r="I33" s="277">
        <v>0</v>
      </c>
      <c r="J33" s="277">
        <v>0</v>
      </c>
      <c r="K33" s="277">
        <v>0</v>
      </c>
      <c r="L33" s="277">
        <v>3</v>
      </c>
      <c r="M33" s="278">
        <v>9</v>
      </c>
    </row>
    <row r="34" spans="1:13" ht="28.5" customHeight="1">
      <c r="A34" s="276">
        <v>31</v>
      </c>
      <c r="B34" s="276" t="s">
        <v>396</v>
      </c>
      <c r="C34" s="277">
        <v>0</v>
      </c>
      <c r="D34" s="277">
        <v>0</v>
      </c>
      <c r="E34" s="277">
        <v>0</v>
      </c>
      <c r="F34" s="277">
        <v>0</v>
      </c>
      <c r="G34" s="277">
        <v>0</v>
      </c>
      <c r="H34" s="277">
        <v>0</v>
      </c>
      <c r="I34" s="277">
        <v>0</v>
      </c>
      <c r="J34" s="277">
        <v>0</v>
      </c>
      <c r="K34" s="277">
        <v>1</v>
      </c>
      <c r="L34" s="277">
        <v>1</v>
      </c>
      <c r="M34" s="278">
        <v>2</v>
      </c>
    </row>
    <row r="35" spans="1:13" ht="28.5" customHeight="1">
      <c r="A35" s="276">
        <v>32</v>
      </c>
      <c r="B35" s="276" t="s">
        <v>397</v>
      </c>
      <c r="C35" s="277">
        <v>0</v>
      </c>
      <c r="D35" s="277">
        <v>0</v>
      </c>
      <c r="E35" s="277">
        <v>3</v>
      </c>
      <c r="F35" s="277">
        <v>2</v>
      </c>
      <c r="G35" s="277">
        <v>0</v>
      </c>
      <c r="H35" s="277">
        <v>0</v>
      </c>
      <c r="I35" s="277">
        <v>0</v>
      </c>
      <c r="J35" s="277">
        <v>0</v>
      </c>
      <c r="K35" s="277">
        <v>0</v>
      </c>
      <c r="L35" s="277">
        <v>1</v>
      </c>
      <c r="M35" s="278">
        <v>6</v>
      </c>
    </row>
    <row r="36" spans="1:13" ht="28.5" customHeight="1">
      <c r="A36" s="276">
        <v>33</v>
      </c>
      <c r="B36" s="276" t="s">
        <v>297</v>
      </c>
      <c r="C36" s="277">
        <v>0</v>
      </c>
      <c r="D36" s="277">
        <v>2</v>
      </c>
      <c r="E36" s="277">
        <v>5</v>
      </c>
      <c r="F36" s="277">
        <v>17</v>
      </c>
      <c r="G36" s="277">
        <v>0</v>
      </c>
      <c r="H36" s="277">
        <v>5</v>
      </c>
      <c r="I36" s="277">
        <v>2</v>
      </c>
      <c r="J36" s="277">
        <v>0</v>
      </c>
      <c r="K36" s="277">
        <v>20</v>
      </c>
      <c r="L36" s="277">
        <v>22</v>
      </c>
      <c r="M36" s="278">
        <v>73</v>
      </c>
    </row>
    <row r="37" spans="1:13" ht="28.5" customHeight="1">
      <c r="A37" s="276">
        <v>34</v>
      </c>
      <c r="B37" s="276" t="s">
        <v>398</v>
      </c>
      <c r="C37" s="277">
        <v>0</v>
      </c>
      <c r="D37" s="277">
        <v>5</v>
      </c>
      <c r="E37" s="277">
        <v>2</v>
      </c>
      <c r="F37" s="277">
        <v>9</v>
      </c>
      <c r="G37" s="277">
        <v>1</v>
      </c>
      <c r="H37" s="277">
        <v>4</v>
      </c>
      <c r="I37" s="277">
        <v>16</v>
      </c>
      <c r="J37" s="277">
        <v>1</v>
      </c>
      <c r="K37" s="277">
        <v>5</v>
      </c>
      <c r="L37" s="277">
        <v>12</v>
      </c>
      <c r="M37" s="278">
        <v>55</v>
      </c>
    </row>
    <row r="38" spans="1:13" ht="28.5" customHeight="1">
      <c r="A38" s="276">
        <v>35</v>
      </c>
      <c r="B38" s="276" t="s">
        <v>399</v>
      </c>
      <c r="C38" s="277">
        <v>0</v>
      </c>
      <c r="D38" s="277">
        <v>5</v>
      </c>
      <c r="E38" s="277">
        <v>3</v>
      </c>
      <c r="F38" s="277">
        <v>7</v>
      </c>
      <c r="G38" s="277">
        <v>0</v>
      </c>
      <c r="H38" s="277">
        <v>1</v>
      </c>
      <c r="I38" s="277">
        <v>9</v>
      </c>
      <c r="J38" s="277">
        <v>1</v>
      </c>
      <c r="K38" s="277">
        <v>8</v>
      </c>
      <c r="L38" s="277">
        <v>25</v>
      </c>
      <c r="M38" s="278">
        <v>59</v>
      </c>
    </row>
    <row r="39" spans="1:13" ht="28.5" customHeight="1">
      <c r="A39" s="276">
        <v>36</v>
      </c>
      <c r="B39" s="276" t="s">
        <v>400</v>
      </c>
      <c r="C39" s="277">
        <v>0</v>
      </c>
      <c r="D39" s="277">
        <v>0</v>
      </c>
      <c r="E39" s="277">
        <v>0</v>
      </c>
      <c r="F39" s="277">
        <v>2</v>
      </c>
      <c r="G39" s="277">
        <v>0</v>
      </c>
      <c r="H39" s="277">
        <v>0</v>
      </c>
      <c r="I39" s="277">
        <v>0</v>
      </c>
      <c r="J39" s="277">
        <v>0</v>
      </c>
      <c r="K39" s="277">
        <v>0</v>
      </c>
      <c r="L39" s="277">
        <v>2</v>
      </c>
      <c r="M39" s="278">
        <v>4</v>
      </c>
    </row>
    <row r="40" spans="1:13" ht="28.5" customHeight="1">
      <c r="A40" s="276">
        <v>37</v>
      </c>
      <c r="B40" s="276" t="s">
        <v>285</v>
      </c>
      <c r="C40" s="277">
        <v>0</v>
      </c>
      <c r="D40" s="277">
        <v>0</v>
      </c>
      <c r="E40" s="277">
        <v>0</v>
      </c>
      <c r="F40" s="277">
        <v>6</v>
      </c>
      <c r="G40" s="277">
        <v>0</v>
      </c>
      <c r="H40" s="277">
        <v>0</v>
      </c>
      <c r="I40" s="277">
        <v>0</v>
      </c>
      <c r="J40" s="277">
        <v>0</v>
      </c>
      <c r="K40" s="277">
        <v>1</v>
      </c>
      <c r="L40" s="277">
        <v>7</v>
      </c>
      <c r="M40" s="278">
        <v>14</v>
      </c>
    </row>
    <row r="41" spans="1:13" ht="28.5" customHeight="1">
      <c r="A41" s="276">
        <v>38</v>
      </c>
      <c r="B41" s="276" t="s">
        <v>293</v>
      </c>
      <c r="C41" s="280">
        <v>0</v>
      </c>
      <c r="D41" s="277">
        <v>0</v>
      </c>
      <c r="E41" s="277">
        <v>9</v>
      </c>
      <c r="F41" s="277">
        <v>4</v>
      </c>
      <c r="G41" s="277">
        <v>0</v>
      </c>
      <c r="H41" s="277">
        <v>0</v>
      </c>
      <c r="I41" s="277">
        <v>0</v>
      </c>
      <c r="J41" s="277">
        <v>0</v>
      </c>
      <c r="K41" s="277">
        <v>6</v>
      </c>
      <c r="L41" s="277">
        <v>5</v>
      </c>
      <c r="M41" s="278">
        <v>24</v>
      </c>
    </row>
    <row r="42" spans="1:13" s="69" customFormat="1" ht="28.5" customHeight="1">
      <c r="A42" s="524">
        <v>39</v>
      </c>
      <c r="B42" s="524" t="s">
        <v>294</v>
      </c>
      <c r="C42" s="525">
        <v>0</v>
      </c>
      <c r="D42" s="525">
        <v>1</v>
      </c>
      <c r="E42" s="525">
        <v>1</v>
      </c>
      <c r="F42" s="525">
        <v>7</v>
      </c>
      <c r="G42" s="525">
        <v>0</v>
      </c>
      <c r="H42" s="525">
        <v>0</v>
      </c>
      <c r="I42" s="525">
        <v>0</v>
      </c>
      <c r="J42" s="525">
        <v>0</v>
      </c>
      <c r="K42" s="525">
        <v>0</v>
      </c>
      <c r="L42" s="525">
        <v>4</v>
      </c>
      <c r="M42" s="526">
        <v>13</v>
      </c>
    </row>
    <row r="43" spans="1:13" ht="28.5" customHeight="1">
      <c r="A43" s="276">
        <v>40</v>
      </c>
      <c r="B43" s="276" t="s">
        <v>401</v>
      </c>
      <c r="C43" s="277">
        <v>0</v>
      </c>
      <c r="D43" s="277">
        <v>1</v>
      </c>
      <c r="E43" s="277">
        <v>0</v>
      </c>
      <c r="F43" s="277">
        <v>4</v>
      </c>
      <c r="G43" s="277">
        <v>0</v>
      </c>
      <c r="H43" s="277">
        <v>0</v>
      </c>
      <c r="I43" s="277">
        <v>0</v>
      </c>
      <c r="J43" s="277">
        <v>0</v>
      </c>
      <c r="K43" s="277">
        <v>0</v>
      </c>
      <c r="L43" s="277">
        <v>1</v>
      </c>
      <c r="M43" s="278">
        <v>6</v>
      </c>
    </row>
    <row r="44" spans="1:13" ht="28.5" customHeight="1">
      <c r="A44" s="705" t="s">
        <v>8</v>
      </c>
      <c r="B44" s="705"/>
      <c r="C44" s="696">
        <v>396</v>
      </c>
      <c r="D44" s="696"/>
      <c r="E44" s="696">
        <v>711</v>
      </c>
      <c r="F44" s="696"/>
      <c r="G44" s="696">
        <v>55</v>
      </c>
      <c r="H44" s="696"/>
      <c r="I44" s="696">
        <v>64</v>
      </c>
      <c r="J44" s="696"/>
      <c r="K44" s="696">
        <v>544</v>
      </c>
      <c r="L44" s="696"/>
      <c r="M44" s="281">
        <v>1770</v>
      </c>
    </row>
  </sheetData>
  <mergeCells count="15">
    <mergeCell ref="K44:L44"/>
    <mergeCell ref="B1:B3"/>
    <mergeCell ref="A1:A3"/>
    <mergeCell ref="M2:M3"/>
    <mergeCell ref="A44:B44"/>
    <mergeCell ref="C44:D44"/>
    <mergeCell ref="E44:F44"/>
    <mergeCell ref="G44:H44"/>
    <mergeCell ref="I44:J44"/>
    <mergeCell ref="C1:M1"/>
    <mergeCell ref="C2:D2"/>
    <mergeCell ref="E2:F2"/>
    <mergeCell ref="G2:H2"/>
    <mergeCell ref="I2:J2"/>
    <mergeCell ref="K2:L2"/>
  </mergeCells>
  <printOptions horizontalCentered="1"/>
  <pageMargins left="0.19685039370078741" right="0.23622047244094491" top="0.75" bottom="0.61" header="0.31496062992125984" footer="0.31496062992125984"/>
  <pageSetup paperSize="9" scale="80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B1:E23"/>
  <sheetViews>
    <sheetView topLeftCell="A7" workbookViewId="0">
      <selection activeCell="C20" sqref="C20"/>
    </sheetView>
  </sheetViews>
  <sheetFormatPr defaultRowHeight="18.75"/>
  <cols>
    <col min="1" max="1" width="7.5703125" style="270" customWidth="1"/>
    <col min="2" max="2" width="44" style="270" customWidth="1"/>
    <col min="3" max="3" width="9.140625" style="270"/>
    <col min="4" max="4" width="11.5703125" style="270" customWidth="1"/>
    <col min="5" max="5" width="18.28515625" style="270" customWidth="1"/>
    <col min="6" max="16384" width="9.140625" style="270"/>
  </cols>
  <sheetData>
    <row r="1" spans="2:5">
      <c r="D1" s="346" t="s">
        <v>408</v>
      </c>
      <c r="E1" s="346" t="s">
        <v>490</v>
      </c>
    </row>
    <row r="2" spans="2:5">
      <c r="D2" s="348" t="s">
        <v>443</v>
      </c>
      <c r="E2" s="347"/>
    </row>
    <row r="3" spans="2:5">
      <c r="B3" s="247" t="s">
        <v>80</v>
      </c>
      <c r="C3" s="269" t="s">
        <v>404</v>
      </c>
      <c r="D3" s="269">
        <v>2073.0300000000002</v>
      </c>
      <c r="E3" s="273">
        <f>9963717.05*D3/D20</f>
        <v>1694007.5072530373</v>
      </c>
    </row>
    <row r="4" spans="2:5">
      <c r="B4" s="247" t="s">
        <v>81</v>
      </c>
      <c r="C4" s="269" t="s">
        <v>403</v>
      </c>
      <c r="D4" s="272">
        <v>2511.67</v>
      </c>
      <c r="E4" s="273">
        <f>9963717.05*D4/D20</f>
        <v>2052448.7517026942</v>
      </c>
    </row>
    <row r="5" spans="2:5">
      <c r="B5" s="247" t="s">
        <v>82</v>
      </c>
      <c r="C5" s="269" t="s">
        <v>403</v>
      </c>
      <c r="D5" s="272">
        <v>1240.78</v>
      </c>
      <c r="E5" s="273">
        <f>9963717.05*D5/D20</f>
        <v>1013921.957159049</v>
      </c>
    </row>
    <row r="6" spans="2:5">
      <c r="B6" s="247" t="s">
        <v>83</v>
      </c>
      <c r="C6" s="269" t="s">
        <v>404</v>
      </c>
      <c r="D6" s="269">
        <v>669.54</v>
      </c>
      <c r="E6" s="273">
        <f>9963717.05*D6/D20</f>
        <v>547124.63708011876</v>
      </c>
    </row>
    <row r="7" spans="2:5">
      <c r="B7" s="247" t="s">
        <v>84</v>
      </c>
      <c r="C7" s="269" t="s">
        <v>404</v>
      </c>
      <c r="D7" s="269">
        <v>926.33</v>
      </c>
      <c r="E7" s="273">
        <f>9963717.05*D7/D20</f>
        <v>756964.43090245</v>
      </c>
    </row>
    <row r="8" spans="2:5">
      <c r="B8" s="247" t="s">
        <v>85</v>
      </c>
      <c r="C8" s="269" t="s">
        <v>404</v>
      </c>
      <c r="D8" s="269">
        <v>549.02</v>
      </c>
      <c r="E8" s="273">
        <f>9963717.05*D8/D20</f>
        <v>448639.91434376856</v>
      </c>
    </row>
    <row r="9" spans="2:5">
      <c r="B9" s="247" t="s">
        <v>86</v>
      </c>
      <c r="C9" s="269" t="s">
        <v>404</v>
      </c>
      <c r="D9" s="269">
        <v>27.06</v>
      </c>
      <c r="E9" s="273">
        <f>9963717.05*D9/D20</f>
        <v>22112.484212127751</v>
      </c>
    </row>
    <row r="10" spans="2:5">
      <c r="B10" s="247" t="s">
        <v>87</v>
      </c>
      <c r="C10" s="269" t="s">
        <v>404</v>
      </c>
      <c r="D10" s="269">
        <v>729.68</v>
      </c>
      <c r="E10" s="273">
        <f>9963717.05*D10/D20</f>
        <v>596268.93865134416</v>
      </c>
    </row>
    <row r="11" spans="2:5">
      <c r="B11" s="247" t="s">
        <v>88</v>
      </c>
      <c r="C11" s="269" t="s">
        <v>404</v>
      </c>
      <c r="D11" s="269">
        <v>192.96</v>
      </c>
      <c r="E11" s="273">
        <f>9963717.05*D11/D20</f>
        <v>157680.15349490652</v>
      </c>
    </row>
    <row r="12" spans="2:5">
      <c r="B12" s="247" t="s">
        <v>89</v>
      </c>
      <c r="C12" s="269" t="s">
        <v>404</v>
      </c>
      <c r="D12" s="269">
        <v>608.95000000000005</v>
      </c>
      <c r="E12" s="273">
        <f>9963717.05*D12/D20</f>
        <v>497612.61127033236</v>
      </c>
    </row>
    <row r="13" spans="2:5">
      <c r="B13" s="247" t="s">
        <v>90</v>
      </c>
      <c r="C13" s="269" t="s">
        <v>404</v>
      </c>
      <c r="D13" s="269">
        <v>118.32</v>
      </c>
      <c r="E13" s="273">
        <f>9963717.05*D13/D20</f>
        <v>96686.959792274763</v>
      </c>
    </row>
    <row r="14" spans="2:5">
      <c r="B14" s="247" t="s">
        <v>91</v>
      </c>
      <c r="C14" s="269" t="s">
        <v>404</v>
      </c>
      <c r="D14" s="269">
        <v>227.53</v>
      </c>
      <c r="E14" s="273">
        <f>9963717.05*D14/D20</f>
        <v>185929.54666612812</v>
      </c>
    </row>
    <row r="15" spans="2:5">
      <c r="B15" s="247" t="s">
        <v>92</v>
      </c>
      <c r="C15" s="269" t="s">
        <v>403</v>
      </c>
      <c r="D15" s="282">
        <v>246.86</v>
      </c>
      <c r="E15" s="273">
        <f>9963717.05*D15/D20</f>
        <v>201725.3456247545</v>
      </c>
    </row>
    <row r="16" spans="2:5">
      <c r="B16" s="247" t="s">
        <v>93</v>
      </c>
      <c r="C16" s="269" t="s">
        <v>404</v>
      </c>
      <c r="D16" s="269">
        <v>786.07</v>
      </c>
      <c r="E16" s="273">
        <f>9963717.05*D16/D20</f>
        <v>642348.87156789575</v>
      </c>
    </row>
    <row r="17" spans="2:5">
      <c r="B17" s="247" t="s">
        <v>94</v>
      </c>
      <c r="C17" s="269" t="s">
        <v>403</v>
      </c>
      <c r="D17" s="272">
        <v>862.39</v>
      </c>
      <c r="E17" s="273">
        <f>9963717.05*D17/D20</f>
        <v>704714.90242782142</v>
      </c>
    </row>
    <row r="18" spans="2:5">
      <c r="B18" s="345" t="s">
        <v>487</v>
      </c>
      <c r="C18" s="269" t="s">
        <v>488</v>
      </c>
      <c r="D18" s="269">
        <v>51.5</v>
      </c>
      <c r="E18" s="273">
        <f>9963717.05*D18/D20</f>
        <v>42083.996190856582</v>
      </c>
    </row>
    <row r="19" spans="2:5">
      <c r="B19" s="247" t="s">
        <v>95</v>
      </c>
      <c r="C19" s="269" t="s">
        <v>404</v>
      </c>
      <c r="D19" s="269">
        <v>371.34</v>
      </c>
      <c r="E19" s="273">
        <f>9963717.05*D19/D20</f>
        <v>303446.04166044045</v>
      </c>
    </row>
    <row r="20" spans="2:5">
      <c r="B20" s="269"/>
      <c r="C20" s="269"/>
      <c r="D20" s="272">
        <f>SUM(D3:D19)</f>
        <v>12193.03</v>
      </c>
      <c r="E20" s="273">
        <f>9963717.05*D20/D20</f>
        <v>9963717.0500000007</v>
      </c>
    </row>
    <row r="21" spans="2:5">
      <c r="B21" s="270" t="s">
        <v>489</v>
      </c>
    </row>
    <row r="23" spans="2:5">
      <c r="D23" s="274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2"/>
  <sheetViews>
    <sheetView topLeftCell="A28" workbookViewId="0">
      <selection activeCell="B42" sqref="B42"/>
    </sheetView>
  </sheetViews>
  <sheetFormatPr defaultRowHeight="21"/>
  <cols>
    <col min="1" max="1" width="37.7109375" style="36" customWidth="1"/>
    <col min="2" max="5" width="18.7109375" style="36" customWidth="1"/>
    <col min="6" max="6" width="16.28515625" style="36" bestFit="1" customWidth="1"/>
    <col min="7" max="7" width="17.42578125" style="36" customWidth="1"/>
    <col min="8" max="16384" width="9.140625" style="36"/>
  </cols>
  <sheetData>
    <row r="1" spans="1:6">
      <c r="A1" s="546" t="s">
        <v>0</v>
      </c>
      <c r="B1" s="546"/>
      <c r="C1" s="546"/>
      <c r="D1" s="546"/>
      <c r="E1" s="546"/>
    </row>
    <row r="2" spans="1:6">
      <c r="A2" s="389"/>
    </row>
    <row r="3" spans="1:6">
      <c r="A3" s="455" t="s">
        <v>39</v>
      </c>
    </row>
    <row r="4" spans="1:6">
      <c r="A4" s="389"/>
    </row>
    <row r="5" spans="1:6">
      <c r="A5" s="547" t="s">
        <v>423</v>
      </c>
      <c r="B5" s="547"/>
      <c r="C5" s="547"/>
    </row>
    <row r="6" spans="1:6" s="389" customFormat="1">
      <c r="E6" s="456" t="s">
        <v>35</v>
      </c>
    </row>
    <row r="7" spans="1:6" s="389" customFormat="1">
      <c r="A7" s="437" t="s">
        <v>5</v>
      </c>
      <c r="B7" s="437" t="s">
        <v>6</v>
      </c>
      <c r="C7" s="437" t="s">
        <v>7</v>
      </c>
      <c r="D7" s="498" t="s">
        <v>521</v>
      </c>
      <c r="E7" s="437" t="s">
        <v>8</v>
      </c>
    </row>
    <row r="8" spans="1:6">
      <c r="A8" s="44" t="s">
        <v>64</v>
      </c>
      <c r="B8" s="303">
        <f>+คชจ.หน่วยงาน!B33</f>
        <v>237887185.51000002</v>
      </c>
      <c r="C8" s="303">
        <f>+คชจ.หน่วยงาน!C33</f>
        <v>64805442.420000002</v>
      </c>
      <c r="D8" s="303">
        <f>+คชจ.หน่วยงาน!D33</f>
        <v>9963717.0500000007</v>
      </c>
      <c r="E8" s="303">
        <f>SUM(B8:D8)</f>
        <v>312656344.98000002</v>
      </c>
      <c r="F8" s="27"/>
    </row>
    <row r="9" spans="1:6">
      <c r="A9" s="44" t="s">
        <v>113</v>
      </c>
      <c r="B9" s="303">
        <f>+คชจ.หน่วยงาน!E33</f>
        <v>6823210.1099999994</v>
      </c>
      <c r="C9" s="303">
        <f>+คชจ.หน่วยงาน!F33</f>
        <v>16576</v>
      </c>
      <c r="D9" s="303">
        <f>+คชจ.หน่วยงาน!G33</f>
        <v>0</v>
      </c>
      <c r="E9" s="303">
        <f t="shared" ref="E9:E14" si="0">SUM(B9:D9)</f>
        <v>6839786.1099999994</v>
      </c>
      <c r="F9" s="27"/>
    </row>
    <row r="10" spans="1:6">
      <c r="A10" s="44" t="s">
        <v>114</v>
      </c>
      <c r="B10" s="303">
        <f>+คชจ.หน่วยงาน!H33</f>
        <v>9230910.6999999993</v>
      </c>
      <c r="C10" s="303">
        <f>+คชจ.หน่วยงาน!I33</f>
        <v>6310452.3099999996</v>
      </c>
      <c r="D10" s="303">
        <f>+คชจ.หน่วยงาน!J33</f>
        <v>0</v>
      </c>
      <c r="E10" s="303">
        <f t="shared" si="0"/>
        <v>15541363.009999998</v>
      </c>
      <c r="F10" s="27"/>
    </row>
    <row r="11" spans="1:6">
      <c r="A11" s="44" t="s">
        <v>115</v>
      </c>
      <c r="B11" s="303">
        <f>+คชจ.หน่วยงาน!K33</f>
        <v>154247844.19</v>
      </c>
      <c r="C11" s="303">
        <f>+คชจ.หน่วยงาน!L33</f>
        <v>66640082.170000002</v>
      </c>
      <c r="D11" s="303">
        <f>+คชจ.หน่วยงาน!M33</f>
        <v>0</v>
      </c>
      <c r="E11" s="303">
        <f t="shared" si="0"/>
        <v>220887926.36000001</v>
      </c>
      <c r="F11" s="27"/>
    </row>
    <row r="12" spans="1:6">
      <c r="A12" s="44" t="s">
        <v>116</v>
      </c>
      <c r="B12" s="303">
        <f>+คชจ.หน่วยงาน!N33</f>
        <v>212856929.66000003</v>
      </c>
      <c r="C12" s="303">
        <f>+คชจ.หน่วยงาน!O33</f>
        <v>33519877.390000001</v>
      </c>
      <c r="D12" s="303">
        <f>+คชจ.หน่วยงาน!P33</f>
        <v>0</v>
      </c>
      <c r="E12" s="303">
        <f t="shared" si="0"/>
        <v>246376807.05000001</v>
      </c>
      <c r="F12" s="27"/>
    </row>
    <row r="13" spans="1:6">
      <c r="A13" s="44" t="s">
        <v>117</v>
      </c>
      <c r="B13" s="303">
        <f>+คชจ.หน่วยงาน!Q33</f>
        <v>345204053.27999997</v>
      </c>
      <c r="C13" s="303">
        <f>+คชจ.หน่วยงาน!R33</f>
        <v>10028222.08</v>
      </c>
      <c r="D13" s="303">
        <f>+คชจ.หน่วยงาน!S33</f>
        <v>0</v>
      </c>
      <c r="E13" s="303">
        <f t="shared" si="0"/>
        <v>355232275.35999995</v>
      </c>
      <c r="F13" s="27"/>
    </row>
    <row r="14" spans="1:6" ht="21.75" thickBot="1">
      <c r="A14" s="44" t="s">
        <v>118</v>
      </c>
      <c r="B14" s="457">
        <f>+คชจ.หน่วยงาน!T33</f>
        <v>115778719.16</v>
      </c>
      <c r="C14" s="457">
        <f>+คชจ.หน่วยงาน!U33</f>
        <v>17131771.300000001</v>
      </c>
      <c r="D14" s="457">
        <f>+คชจ.หน่วยงาน!V33</f>
        <v>0</v>
      </c>
      <c r="E14" s="303">
        <f t="shared" si="0"/>
        <v>132910490.45999999</v>
      </c>
      <c r="F14" s="27"/>
    </row>
    <row r="15" spans="1:6" s="35" customFormat="1" ht="22.5" thickTop="1" thickBot="1">
      <c r="A15" s="106" t="s">
        <v>8</v>
      </c>
      <c r="B15" s="458">
        <f>SUM(B8:B14)</f>
        <v>1082028852.6100001</v>
      </c>
      <c r="C15" s="458">
        <f>SUM(C8:C14)</f>
        <v>198452423.67000005</v>
      </c>
      <c r="D15" s="458">
        <f>SUM(D8:D14)</f>
        <v>9963717.0500000007</v>
      </c>
      <c r="E15" s="458">
        <f>SUM(B15:D15)</f>
        <v>1290444993.3300002</v>
      </c>
      <c r="F15" s="107"/>
    </row>
    <row r="16" spans="1:6" ht="21.75" thickTop="1">
      <c r="B16" s="27"/>
      <c r="C16" s="27"/>
      <c r="D16" s="27"/>
    </row>
    <row r="17" spans="1:6">
      <c r="A17" s="459" t="s">
        <v>69</v>
      </c>
      <c r="C17" s="27"/>
      <c r="E17" s="27"/>
      <c r="F17" s="27"/>
    </row>
    <row r="18" spans="1:6">
      <c r="A18" s="36" t="s">
        <v>201</v>
      </c>
      <c r="B18" s="54"/>
      <c r="C18" s="27"/>
      <c r="D18" s="54">
        <v>2400169797.4099998</v>
      </c>
      <c r="E18" s="383"/>
      <c r="F18" s="27"/>
    </row>
    <row r="19" spans="1:6">
      <c r="A19" s="459" t="s">
        <v>414</v>
      </c>
      <c r="B19" s="61"/>
      <c r="C19" s="383">
        <v>26062858.539999999</v>
      </c>
      <c r="D19" s="54"/>
      <c r="E19" s="27"/>
    </row>
    <row r="20" spans="1:6">
      <c r="A20" s="36" t="s">
        <v>266</v>
      </c>
      <c r="B20" s="61"/>
      <c r="C20" s="383">
        <v>2334372.5</v>
      </c>
      <c r="D20" s="54"/>
      <c r="E20" s="27"/>
    </row>
    <row r="21" spans="1:6">
      <c r="A21" s="36" t="s">
        <v>168</v>
      </c>
      <c r="B21" s="460"/>
      <c r="C21" s="383">
        <v>36481791.770000003</v>
      </c>
      <c r="D21" s="27"/>
      <c r="E21" s="27"/>
      <c r="F21" s="54"/>
    </row>
    <row r="22" spans="1:6">
      <c r="A22" s="36" t="s">
        <v>169</v>
      </c>
      <c r="B22" s="194"/>
      <c r="C22" s="54">
        <v>274159.2</v>
      </c>
    </row>
    <row r="23" spans="1:6">
      <c r="A23" s="36" t="s">
        <v>170</v>
      </c>
      <c r="C23" s="54">
        <v>3207315.12</v>
      </c>
      <c r="E23" s="27"/>
      <c r="F23" s="27"/>
    </row>
    <row r="24" spans="1:6">
      <c r="A24" s="36" t="s">
        <v>261</v>
      </c>
      <c r="C24" s="54">
        <v>1207525</v>
      </c>
    </row>
    <row r="25" spans="1:6">
      <c r="A25" s="36" t="s">
        <v>171</v>
      </c>
      <c r="C25" s="54">
        <v>2039765.71</v>
      </c>
      <c r="F25" s="27"/>
    </row>
    <row r="26" spans="1:6">
      <c r="A26" s="36" t="s">
        <v>172</v>
      </c>
      <c r="C26" s="54">
        <v>4732725.2</v>
      </c>
    </row>
    <row r="27" spans="1:6">
      <c r="A27" s="36" t="s">
        <v>441</v>
      </c>
      <c r="C27" s="54">
        <v>58584.6</v>
      </c>
    </row>
    <row r="28" spans="1:6">
      <c r="A28" s="36" t="s">
        <v>173</v>
      </c>
      <c r="C28" s="54">
        <v>3587076</v>
      </c>
    </row>
    <row r="29" spans="1:6">
      <c r="A29" s="36" t="s">
        <v>167</v>
      </c>
      <c r="C29" s="54">
        <v>70130</v>
      </c>
    </row>
    <row r="30" spans="1:6">
      <c r="A30" s="36" t="s">
        <v>174</v>
      </c>
      <c r="C30" s="54">
        <v>1804694.65</v>
      </c>
    </row>
    <row r="31" spans="1:6">
      <c r="A31" s="36" t="s">
        <v>175</v>
      </c>
      <c r="C31" s="54">
        <v>1359646.51</v>
      </c>
      <c r="E31" s="27"/>
    </row>
    <row r="32" spans="1:6">
      <c r="A32" s="36" t="s">
        <v>442</v>
      </c>
      <c r="C32" s="54">
        <v>20000</v>
      </c>
    </row>
    <row r="33" spans="1:5">
      <c r="A33" s="36" t="s">
        <v>176</v>
      </c>
      <c r="C33" s="54">
        <v>47133.4</v>
      </c>
    </row>
    <row r="34" spans="1:5">
      <c r="A34" s="36" t="s">
        <v>177</v>
      </c>
      <c r="C34" s="54">
        <v>3880597.96</v>
      </c>
    </row>
    <row r="35" spans="1:5">
      <c r="A35" s="36" t="s">
        <v>180</v>
      </c>
      <c r="C35" s="54">
        <v>549302183.71000004</v>
      </c>
    </row>
    <row r="36" spans="1:5">
      <c r="A36" s="36" t="s">
        <v>178</v>
      </c>
      <c r="C36" s="54">
        <v>3942365.36</v>
      </c>
    </row>
    <row r="37" spans="1:5">
      <c r="A37" s="36" t="s">
        <v>179</v>
      </c>
      <c r="C37" s="54">
        <v>459443381.56999999</v>
      </c>
    </row>
    <row r="38" spans="1:5">
      <c r="A38" s="36" t="s">
        <v>181</v>
      </c>
      <c r="C38" s="461">
        <v>9974215.2799999993</v>
      </c>
      <c r="D38" s="462">
        <f>+C19+C20+C21+C22+C23+C24+C25+C26+C28+C29+C30+C31+C32+C34+C35+C36+C37+C38</f>
        <v>1109724804.0799999</v>
      </c>
    </row>
    <row r="39" spans="1:5" ht="21.75" thickBot="1">
      <c r="C39" s="27"/>
      <c r="D39" s="463">
        <f>+D18-D38</f>
        <v>1290444993.3299999</v>
      </c>
      <c r="E39" s="27"/>
    </row>
    <row r="40" spans="1:5" ht="21.75" thickTop="1"/>
    <row r="41" spans="1:5">
      <c r="D41" s="54"/>
      <c r="E41" s="27"/>
    </row>
    <row r="42" spans="1:5">
      <c r="D42" s="27"/>
    </row>
  </sheetData>
  <mergeCells count="2">
    <mergeCell ref="A1:E1"/>
    <mergeCell ref="A5:C5"/>
  </mergeCells>
  <phoneticPr fontId="3" type="noConversion"/>
  <printOptions horizontalCentered="1"/>
  <pageMargins left="0.59055118110236227" right="0.59055118110236227" top="0.86" bottom="0.51181102362204722" header="0.39370078740157483" footer="0.39370078740157483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5"/>
  <sheetViews>
    <sheetView topLeftCell="A25" zoomScale="80" zoomScaleNormal="80" workbookViewId="0">
      <selection activeCell="A20" sqref="A20"/>
    </sheetView>
  </sheetViews>
  <sheetFormatPr defaultRowHeight="21"/>
  <cols>
    <col min="1" max="1" width="60" style="5" customWidth="1"/>
    <col min="2" max="2" width="17" style="110" bestFit="1" customWidth="1"/>
    <col min="3" max="3" width="18" style="5" bestFit="1" customWidth="1"/>
    <col min="4" max="4" width="14.140625" style="5" customWidth="1"/>
    <col min="5" max="5" width="17" style="5" bestFit="1" customWidth="1"/>
    <col min="6" max="6" width="18.85546875" style="5" bestFit="1" customWidth="1"/>
    <col min="7" max="7" width="14.140625" style="5" customWidth="1"/>
    <col min="8" max="8" width="19" style="111" customWidth="1"/>
    <col min="9" max="9" width="15.42578125" style="5" customWidth="1"/>
    <col min="10" max="10" width="14.140625" style="108" customWidth="1"/>
    <col min="11" max="16384" width="9.140625" style="5"/>
  </cols>
  <sheetData>
    <row r="1" spans="1:10">
      <c r="A1" s="551" t="s">
        <v>18</v>
      </c>
      <c r="B1" s="551"/>
      <c r="C1" s="551"/>
      <c r="D1" s="551"/>
      <c r="E1" s="551"/>
      <c r="F1" s="551"/>
      <c r="G1" s="551"/>
      <c r="H1" s="551"/>
      <c r="I1" s="551"/>
    </row>
    <row r="2" spans="1:10">
      <c r="A2" s="552" t="s">
        <v>39</v>
      </c>
      <c r="B2" s="552"/>
      <c r="C2" s="552"/>
      <c r="D2" s="552"/>
      <c r="E2" s="552"/>
      <c r="F2" s="552"/>
      <c r="G2" s="552"/>
      <c r="H2" s="552"/>
      <c r="I2" s="552"/>
    </row>
    <row r="3" spans="1:10">
      <c r="A3" s="109" t="s">
        <v>424</v>
      </c>
      <c r="G3" s="99"/>
      <c r="I3" s="112" t="s">
        <v>35</v>
      </c>
    </row>
    <row r="4" spans="1:10" s="115" customFormat="1" ht="20.25" customHeight="1">
      <c r="A4" s="113" t="s">
        <v>9</v>
      </c>
      <c r="B4" s="113" t="s">
        <v>6</v>
      </c>
      <c r="C4" s="113" t="s">
        <v>7</v>
      </c>
      <c r="D4" s="113" t="s">
        <v>10</v>
      </c>
      <c r="E4" s="113" t="s">
        <v>11</v>
      </c>
      <c r="F4" s="113" t="s">
        <v>12</v>
      </c>
      <c r="G4" s="549" t="s">
        <v>13</v>
      </c>
      <c r="H4" s="550"/>
      <c r="I4" s="113" t="s">
        <v>14</v>
      </c>
      <c r="J4" s="114"/>
    </row>
    <row r="5" spans="1:10" s="120" customFormat="1" ht="20.25" customHeight="1">
      <c r="A5" s="105" t="s">
        <v>184</v>
      </c>
      <c r="B5" s="423">
        <v>47033031.259999998</v>
      </c>
      <c r="C5" s="423">
        <v>32847577.949999999</v>
      </c>
      <c r="D5" s="423">
        <v>2926723.25</v>
      </c>
      <c r="E5" s="423">
        <v>21937403.59</v>
      </c>
      <c r="F5" s="116">
        <f>SUM(B5:E5)</f>
        <v>104744736.05</v>
      </c>
      <c r="G5" s="117">
        <v>5262.57</v>
      </c>
      <c r="H5" s="118" t="s">
        <v>41</v>
      </c>
      <c r="I5" s="436">
        <f t="shared" ref="I5:I17" si="0">F5/G5</f>
        <v>19903.723095369754</v>
      </c>
      <c r="J5" s="119"/>
    </row>
    <row r="6" spans="1:10" s="120" customFormat="1" ht="20.25" customHeight="1">
      <c r="A6" s="105" t="s">
        <v>185</v>
      </c>
      <c r="B6" s="423">
        <v>185617.53</v>
      </c>
      <c r="C6" s="423">
        <v>217246.21</v>
      </c>
      <c r="D6" s="423">
        <v>32165.75</v>
      </c>
      <c r="E6" s="116">
        <v>248033.05</v>
      </c>
      <c r="F6" s="116">
        <f t="shared" ref="F6:F23" si="1">SUM(B6:E6)</f>
        <v>683062.54</v>
      </c>
      <c r="G6" s="117">
        <v>37.06</v>
      </c>
      <c r="H6" s="118" t="s">
        <v>41</v>
      </c>
      <c r="I6" s="436">
        <f>F6/G6</f>
        <v>18431.261198057204</v>
      </c>
      <c r="J6" s="119"/>
    </row>
    <row r="7" spans="1:10" s="120" customFormat="1" ht="20.25" customHeight="1">
      <c r="A7" s="105" t="s">
        <v>186</v>
      </c>
      <c r="B7" s="423">
        <v>19851113.350000001</v>
      </c>
      <c r="C7" s="423">
        <v>11439512.35</v>
      </c>
      <c r="D7" s="116">
        <v>1013921.96</v>
      </c>
      <c r="E7" s="116">
        <v>11724445.52</v>
      </c>
      <c r="F7" s="116">
        <f>SUM(B7:E7)</f>
        <v>44028993.180000007</v>
      </c>
      <c r="G7" s="117">
        <v>1240.78</v>
      </c>
      <c r="H7" s="118" t="s">
        <v>41</v>
      </c>
      <c r="I7" s="436">
        <f>F7/G7</f>
        <v>35484.93139799159</v>
      </c>
      <c r="J7" s="119"/>
    </row>
    <row r="8" spans="1:10" s="120" customFormat="1" ht="20.25" customHeight="1">
      <c r="A8" s="105" t="s">
        <v>119</v>
      </c>
      <c r="B8" s="423">
        <v>14819052.220000001</v>
      </c>
      <c r="C8" s="423">
        <v>2427355.9900000002</v>
      </c>
      <c r="D8" s="423">
        <v>317152.5</v>
      </c>
      <c r="E8" s="116">
        <v>5739004.4500000002</v>
      </c>
      <c r="F8" s="116">
        <f t="shared" si="1"/>
        <v>23302565.16</v>
      </c>
      <c r="G8" s="117">
        <v>425.25</v>
      </c>
      <c r="H8" s="118" t="s">
        <v>41</v>
      </c>
      <c r="I8" s="436">
        <f t="shared" si="0"/>
        <v>54797.33135802469</v>
      </c>
      <c r="J8" s="119"/>
    </row>
    <row r="9" spans="1:10" s="120" customFormat="1" ht="20.25" customHeight="1">
      <c r="A9" s="121" t="s">
        <v>120</v>
      </c>
      <c r="B9" s="423">
        <v>73193980.370000005</v>
      </c>
      <c r="C9" s="423">
        <v>23525463.690000001</v>
      </c>
      <c r="D9" s="423">
        <v>2157121.6</v>
      </c>
      <c r="E9" s="116">
        <v>44829917.189999998</v>
      </c>
      <c r="F9" s="116">
        <f t="shared" si="1"/>
        <v>143706482.84999999</v>
      </c>
      <c r="G9" s="117">
        <v>2601.2600000000002</v>
      </c>
      <c r="H9" s="118" t="s">
        <v>41</v>
      </c>
      <c r="I9" s="436">
        <f t="shared" si="0"/>
        <v>55244.951619599728</v>
      </c>
      <c r="J9" s="119"/>
    </row>
    <row r="10" spans="1:10" s="120" customFormat="1" ht="20.25" customHeight="1">
      <c r="A10" s="105" t="s">
        <v>121</v>
      </c>
      <c r="B10" s="423">
        <v>293876.47999999998</v>
      </c>
      <c r="C10" s="423">
        <v>170852.67</v>
      </c>
      <c r="D10" s="423">
        <v>16152.63</v>
      </c>
      <c r="E10" s="116">
        <v>210626.21</v>
      </c>
      <c r="F10" s="116">
        <f t="shared" si="1"/>
        <v>691507.99</v>
      </c>
      <c r="G10" s="117">
        <v>18.38</v>
      </c>
      <c r="H10" s="118" t="s">
        <v>41</v>
      </c>
      <c r="I10" s="436">
        <f t="shared" si="0"/>
        <v>37622.850380848751</v>
      </c>
      <c r="J10" s="119"/>
    </row>
    <row r="11" spans="1:10" s="120" customFormat="1" ht="20.25" customHeight="1">
      <c r="A11" s="105" t="s">
        <v>122</v>
      </c>
      <c r="B11" s="116">
        <v>29998354.539999999</v>
      </c>
      <c r="C11" s="116">
        <v>7325689.71</v>
      </c>
      <c r="D11" s="116">
        <v>743106.49</v>
      </c>
      <c r="E11" s="116">
        <v>14176362.9</v>
      </c>
      <c r="F11" s="116">
        <f t="shared" si="1"/>
        <v>52243513.640000001</v>
      </c>
      <c r="G11" s="117">
        <v>911.07</v>
      </c>
      <c r="H11" s="118" t="s">
        <v>41</v>
      </c>
      <c r="I11" s="436">
        <f t="shared" si="0"/>
        <v>57343.029229367661</v>
      </c>
      <c r="J11" s="119"/>
    </row>
    <row r="12" spans="1:10" s="120" customFormat="1" ht="20.25" customHeight="1">
      <c r="A12" s="105" t="s">
        <v>123</v>
      </c>
      <c r="B12" s="116">
        <v>433360.53</v>
      </c>
      <c r="C12" s="116">
        <v>83857.16</v>
      </c>
      <c r="D12" s="116">
        <v>8873.23</v>
      </c>
      <c r="E12" s="116">
        <v>191921.73</v>
      </c>
      <c r="F12" s="116">
        <f t="shared" si="1"/>
        <v>718012.65</v>
      </c>
      <c r="G12" s="117">
        <v>9.16</v>
      </c>
      <c r="H12" s="118" t="s">
        <v>41</v>
      </c>
      <c r="I12" s="436">
        <f t="shared" si="0"/>
        <v>78385.660480349339</v>
      </c>
      <c r="J12" s="119"/>
    </row>
    <row r="13" spans="1:10" s="120" customFormat="1" ht="20.25" customHeight="1">
      <c r="A13" s="105" t="s">
        <v>124</v>
      </c>
      <c r="B13" s="116">
        <v>67855052.829999998</v>
      </c>
      <c r="C13" s="116">
        <v>9742341.9299999997</v>
      </c>
      <c r="D13" s="116">
        <v>1249978.74</v>
      </c>
      <c r="E13" s="116">
        <v>19164827.780000001</v>
      </c>
      <c r="F13" s="116">
        <f t="shared" si="1"/>
        <v>98012201.279999986</v>
      </c>
      <c r="G13" s="117">
        <v>1538.31</v>
      </c>
      <c r="H13" s="118" t="s">
        <v>41</v>
      </c>
      <c r="I13" s="436">
        <f t="shared" si="0"/>
        <v>63714.206681358104</v>
      </c>
      <c r="J13" s="119"/>
    </row>
    <row r="14" spans="1:10" s="120" customFormat="1" ht="20.25" customHeight="1">
      <c r="A14" s="105" t="s">
        <v>125</v>
      </c>
      <c r="B14" s="116">
        <v>374973.09</v>
      </c>
      <c r="C14" s="116">
        <v>59042.97</v>
      </c>
      <c r="D14" s="116">
        <v>8502.27</v>
      </c>
      <c r="E14" s="116">
        <v>74176.2</v>
      </c>
      <c r="F14" s="116">
        <f t="shared" si="1"/>
        <v>516694.53000000009</v>
      </c>
      <c r="G14" s="117">
        <v>4.5</v>
      </c>
      <c r="H14" s="118" t="s">
        <v>41</v>
      </c>
      <c r="I14" s="436">
        <f t="shared" si="0"/>
        <v>114821.00666666668</v>
      </c>
      <c r="J14" s="119"/>
    </row>
    <row r="15" spans="1:10" s="120" customFormat="1" ht="20.25" customHeight="1">
      <c r="A15" s="105" t="s">
        <v>126</v>
      </c>
      <c r="B15" s="116">
        <v>31940060.710000001</v>
      </c>
      <c r="C15" s="116">
        <v>4815892.6500000004</v>
      </c>
      <c r="D15" s="116">
        <v>185929.55</v>
      </c>
      <c r="E15" s="116">
        <v>18926786.809999999</v>
      </c>
      <c r="F15" s="116">
        <f t="shared" si="1"/>
        <v>55868669.719999999</v>
      </c>
      <c r="G15" s="117">
        <v>227.53</v>
      </c>
      <c r="H15" s="118" t="s">
        <v>41</v>
      </c>
      <c r="I15" s="436">
        <f t="shared" si="0"/>
        <v>245544.1907440777</v>
      </c>
      <c r="J15" s="119"/>
    </row>
    <row r="16" spans="1:10" s="120" customFormat="1" ht="20.25" customHeight="1">
      <c r="A16" s="105" t="s">
        <v>127</v>
      </c>
      <c r="B16" s="116">
        <v>19068494.390000001</v>
      </c>
      <c r="C16" s="116">
        <v>6376799.6200000001</v>
      </c>
      <c r="D16" s="116">
        <v>756964.43</v>
      </c>
      <c r="E16" s="116">
        <v>9884429.9199999999</v>
      </c>
      <c r="F16" s="116">
        <f t="shared" si="1"/>
        <v>36086688.359999999</v>
      </c>
      <c r="G16" s="117">
        <v>926.33</v>
      </c>
      <c r="H16" s="118" t="s">
        <v>41</v>
      </c>
      <c r="I16" s="436">
        <f t="shared" si="0"/>
        <v>38956.622758628131</v>
      </c>
      <c r="J16" s="119"/>
    </row>
    <row r="17" spans="1:10" s="120" customFormat="1" ht="20.25" customHeight="1">
      <c r="A17" s="105" t="s">
        <v>128</v>
      </c>
      <c r="B17" s="423">
        <v>12664026.529999999</v>
      </c>
      <c r="C17" s="423">
        <v>5385290.2699999996</v>
      </c>
      <c r="D17" s="423">
        <v>547124.65</v>
      </c>
      <c r="E17" s="423">
        <v>5592038.6799999997</v>
      </c>
      <c r="F17" s="423">
        <f t="shared" si="1"/>
        <v>24188480.129999995</v>
      </c>
      <c r="G17" s="117">
        <v>669.54</v>
      </c>
      <c r="H17" s="118" t="s">
        <v>41</v>
      </c>
      <c r="I17" s="436">
        <f t="shared" si="0"/>
        <v>36127.01276996146</v>
      </c>
      <c r="J17" s="119"/>
    </row>
    <row r="18" spans="1:10" s="3" customFormat="1" ht="20.25" customHeight="1">
      <c r="A18" s="121" t="s">
        <v>129</v>
      </c>
      <c r="B18" s="122">
        <v>3515134.76</v>
      </c>
      <c r="C18" s="122">
        <v>1260015.2</v>
      </c>
      <c r="D18" s="122">
        <v>0</v>
      </c>
      <c r="E18" s="122">
        <v>1502395.17</v>
      </c>
      <c r="F18" s="423">
        <f t="shared" si="1"/>
        <v>6277545.1299999999</v>
      </c>
      <c r="G18" s="449">
        <v>148</v>
      </c>
      <c r="H18" s="118" t="str">
        <f ca="1">+'ตารางที่ 3'!H18</f>
        <v>โครงการ</v>
      </c>
      <c r="I18" s="123">
        <f t="shared" ref="I18:I24" si="2">+F18/G18</f>
        <v>42415.845472972971</v>
      </c>
      <c r="J18" s="124"/>
    </row>
    <row r="19" spans="1:10" s="3" customFormat="1" ht="20.25" customHeight="1">
      <c r="A19" s="121" t="s">
        <v>130</v>
      </c>
      <c r="B19" s="122">
        <v>4408830.3099999996</v>
      </c>
      <c r="C19" s="122">
        <v>1688970.8</v>
      </c>
      <c r="D19" s="122">
        <v>0</v>
      </c>
      <c r="E19" s="122">
        <v>2378781.1</v>
      </c>
      <c r="F19" s="423">
        <f t="shared" si="1"/>
        <v>8476582.209999999</v>
      </c>
      <c r="G19" s="449">
        <v>158</v>
      </c>
      <c r="H19" s="118" t="str">
        <f ca="1">+'ตารางที่ 3'!H19</f>
        <v>โครงการ</v>
      </c>
      <c r="I19" s="123">
        <f t="shared" si="2"/>
        <v>53649.25449367088</v>
      </c>
      <c r="J19" s="124"/>
    </row>
    <row r="20" spans="1:10" s="3" customFormat="1" ht="20.25" customHeight="1">
      <c r="A20" s="121" t="s">
        <v>131</v>
      </c>
      <c r="B20" s="122">
        <v>26335500</v>
      </c>
      <c r="C20" s="122">
        <v>1558570</v>
      </c>
      <c r="D20" s="122">
        <v>0</v>
      </c>
      <c r="E20" s="122">
        <v>7324081.6500000004</v>
      </c>
      <c r="F20" s="423">
        <f t="shared" si="1"/>
        <v>35218151.649999999</v>
      </c>
      <c r="G20" s="450">
        <v>148</v>
      </c>
      <c r="H20" s="118" t="str">
        <f ca="1">+'ตารางที่ 3'!H20</f>
        <v>โครงการ</v>
      </c>
      <c r="I20" s="123">
        <f t="shared" si="2"/>
        <v>237960.48412162162</v>
      </c>
      <c r="J20" s="124"/>
    </row>
    <row r="21" spans="1:10" s="3" customFormat="1" ht="20.25" customHeight="1">
      <c r="A21" s="121" t="s">
        <v>132</v>
      </c>
      <c r="B21" s="122">
        <v>16833700</v>
      </c>
      <c r="C21" s="122">
        <v>2625660</v>
      </c>
      <c r="D21" s="122">
        <v>0</v>
      </c>
      <c r="E21" s="122">
        <v>5418058.9699999997</v>
      </c>
      <c r="F21" s="423">
        <f t="shared" si="1"/>
        <v>24877418.969999999</v>
      </c>
      <c r="G21" s="450">
        <v>159</v>
      </c>
      <c r="H21" s="118" t="str">
        <f ca="1">+'ตารางที่ 3'!H21</f>
        <v>โครงการ</v>
      </c>
      <c r="I21" s="123">
        <f t="shared" si="2"/>
        <v>156461.75452830188</v>
      </c>
      <c r="J21" s="124"/>
    </row>
    <row r="22" spans="1:10" s="3" customFormat="1" ht="20.25" customHeight="1">
      <c r="A22" s="121" t="s">
        <v>495</v>
      </c>
      <c r="B22" s="122">
        <v>1137972.96</v>
      </c>
      <c r="C22" s="122">
        <v>0</v>
      </c>
      <c r="D22" s="122">
        <v>0</v>
      </c>
      <c r="E22" s="122">
        <v>165266.29999999999</v>
      </c>
      <c r="F22" s="423">
        <f t="shared" si="1"/>
        <v>1303239.26</v>
      </c>
      <c r="G22" s="449">
        <v>24</v>
      </c>
      <c r="H22" s="118" t="str">
        <f ca="1">+'ตารางที่ 3'!H22</f>
        <v>โครงการ</v>
      </c>
      <c r="I22" s="123">
        <f t="shared" si="2"/>
        <v>54301.635833333334</v>
      </c>
      <c r="J22" s="124"/>
    </row>
    <row r="23" spans="1:10" s="3" customFormat="1" ht="20.25" customHeight="1">
      <c r="A23" s="121" t="s">
        <v>421</v>
      </c>
      <c r="B23" s="122">
        <v>2917062.8</v>
      </c>
      <c r="C23" s="122">
        <v>0</v>
      </c>
      <c r="D23" s="122">
        <v>0</v>
      </c>
      <c r="E23" s="122">
        <v>1105620.6499999999</v>
      </c>
      <c r="F23" s="423">
        <f t="shared" si="1"/>
        <v>4022683.4499999997</v>
      </c>
      <c r="G23" s="449">
        <v>41</v>
      </c>
      <c r="H23" s="118" t="s">
        <v>22</v>
      </c>
      <c r="I23" s="123">
        <f t="shared" si="2"/>
        <v>98114.230487804874</v>
      </c>
      <c r="J23" s="124"/>
    </row>
    <row r="24" spans="1:10" s="3" customFormat="1" ht="20.25" customHeight="1">
      <c r="A24" s="121" t="s">
        <v>420</v>
      </c>
      <c r="B24" s="125">
        <v>383953971.43000001</v>
      </c>
      <c r="C24" s="122">
        <v>41297323.32</v>
      </c>
      <c r="D24" s="122"/>
      <c r="E24" s="122">
        <v>58626426</v>
      </c>
      <c r="F24" s="423">
        <f>SUM(B24:E24)</f>
        <v>483877720.75</v>
      </c>
      <c r="G24" s="449">
        <v>1</v>
      </c>
      <c r="H24" s="118" t="s">
        <v>161</v>
      </c>
      <c r="I24" s="123">
        <f t="shared" si="2"/>
        <v>483877720.75</v>
      </c>
      <c r="J24" s="124"/>
    </row>
    <row r="25" spans="1:10" s="126" customFormat="1" ht="20.25" customHeight="1">
      <c r="A25" s="285" t="s">
        <v>188</v>
      </c>
      <c r="B25" s="125">
        <v>11406282.17</v>
      </c>
      <c r="C25" s="122">
        <v>1226836.96</v>
      </c>
      <c r="D25" s="122"/>
      <c r="E25" s="122">
        <v>1741639.9</v>
      </c>
      <c r="F25" s="423">
        <f t="shared" ref="F25:F34" si="3">SUM(B25:E25)</f>
        <v>14374759.029999999</v>
      </c>
      <c r="G25" s="450">
        <v>67513</v>
      </c>
      <c r="H25" s="451" t="s">
        <v>159</v>
      </c>
      <c r="I25" s="123">
        <f t="shared" ref="I25:I34" si="4">+F25/G25</f>
        <v>212.91838653296401</v>
      </c>
      <c r="J25" s="124"/>
    </row>
    <row r="26" spans="1:10" s="126" customFormat="1" ht="20.25" customHeight="1">
      <c r="A26" s="286" t="s">
        <v>189</v>
      </c>
      <c r="B26" s="125">
        <v>7249472.9100000001</v>
      </c>
      <c r="C26" s="122">
        <v>779738.85</v>
      </c>
      <c r="D26" s="122"/>
      <c r="E26" s="122">
        <v>1106931.3500000001</v>
      </c>
      <c r="F26" s="423">
        <f t="shared" si="3"/>
        <v>9136143.1099999994</v>
      </c>
      <c r="G26" s="450">
        <v>1689</v>
      </c>
      <c r="H26" s="451" t="s">
        <v>160</v>
      </c>
      <c r="I26" s="123">
        <f t="shared" si="4"/>
        <v>5409.2025518058017</v>
      </c>
      <c r="J26" s="124"/>
    </row>
    <row r="27" spans="1:10" s="126" customFormat="1" ht="20.25" customHeight="1">
      <c r="A27" s="286" t="s">
        <v>190</v>
      </c>
      <c r="B27" s="125">
        <v>5958057.7300000004</v>
      </c>
      <c r="C27" s="122">
        <v>640836.81000000006</v>
      </c>
      <c r="D27" s="122"/>
      <c r="E27" s="122">
        <v>909743.5</v>
      </c>
      <c r="F27" s="423">
        <f t="shared" si="3"/>
        <v>7508638.040000001</v>
      </c>
      <c r="G27" s="450">
        <v>8</v>
      </c>
      <c r="H27" s="451" t="s">
        <v>161</v>
      </c>
      <c r="I27" s="123">
        <f t="shared" si="4"/>
        <v>938579.75500000012</v>
      </c>
      <c r="J27" s="124"/>
    </row>
    <row r="28" spans="1:10" s="126" customFormat="1" ht="20.25" customHeight="1">
      <c r="A28" s="127" t="s">
        <v>191</v>
      </c>
      <c r="B28" s="125">
        <v>13693144.18</v>
      </c>
      <c r="C28" s="122">
        <v>1472807.28</v>
      </c>
      <c r="D28" s="122"/>
      <c r="E28" s="122">
        <v>2090823.81</v>
      </c>
      <c r="F28" s="423">
        <f t="shared" si="3"/>
        <v>17256775.27</v>
      </c>
      <c r="G28" s="450">
        <v>17666</v>
      </c>
      <c r="H28" s="451" t="s">
        <v>162</v>
      </c>
      <c r="I28" s="123">
        <f t="shared" si="4"/>
        <v>976.83546190422283</v>
      </c>
      <c r="J28" s="124"/>
    </row>
    <row r="29" spans="1:10" s="126" customFormat="1" ht="20.25" customHeight="1">
      <c r="A29" s="127" t="s">
        <v>192</v>
      </c>
      <c r="B29" s="125">
        <v>3489928.43</v>
      </c>
      <c r="C29" s="122">
        <v>375369.74</v>
      </c>
      <c r="D29" s="122"/>
      <c r="E29" s="122">
        <v>532881.66</v>
      </c>
      <c r="F29" s="423">
        <f t="shared" si="3"/>
        <v>4398179.83</v>
      </c>
      <c r="G29" s="450">
        <v>1</v>
      </c>
      <c r="H29" s="451" t="s">
        <v>161</v>
      </c>
      <c r="I29" s="123">
        <f t="shared" si="4"/>
        <v>4398179.83</v>
      </c>
      <c r="J29" s="124"/>
    </row>
    <row r="30" spans="1:10" s="126" customFormat="1" ht="20.25" customHeight="1">
      <c r="A30" s="127" t="s">
        <v>193</v>
      </c>
      <c r="B30" s="125">
        <v>5847621.7800000003</v>
      </c>
      <c r="C30" s="122">
        <v>628958.53</v>
      </c>
      <c r="D30" s="122"/>
      <c r="E30" s="122">
        <v>892880.89</v>
      </c>
      <c r="F30" s="423">
        <f t="shared" si="3"/>
        <v>7369461.2000000002</v>
      </c>
      <c r="G30" s="450">
        <v>17666</v>
      </c>
      <c r="H30" s="451" t="s">
        <v>162</v>
      </c>
      <c r="I30" s="123">
        <f t="shared" si="4"/>
        <v>417.15505490773239</v>
      </c>
      <c r="J30" s="124"/>
    </row>
    <row r="31" spans="1:10" s="126" customFormat="1" ht="20.25" customHeight="1">
      <c r="A31" s="127" t="s">
        <v>197</v>
      </c>
      <c r="B31" s="434">
        <v>13071808.66</v>
      </c>
      <c r="C31" s="122">
        <v>1405977.67</v>
      </c>
      <c r="D31" s="122"/>
      <c r="E31" s="122">
        <v>1995951.29</v>
      </c>
      <c r="F31" s="128">
        <f t="shared" si="3"/>
        <v>16473737.620000001</v>
      </c>
      <c r="G31" s="450">
        <v>1</v>
      </c>
      <c r="H31" s="451" t="s">
        <v>161</v>
      </c>
      <c r="I31" s="123">
        <f t="shared" si="4"/>
        <v>16473737.620000001</v>
      </c>
      <c r="J31" s="124"/>
    </row>
    <row r="32" spans="1:10" s="126" customFormat="1" ht="20.25" customHeight="1">
      <c r="A32" s="127" t="s">
        <v>194</v>
      </c>
      <c r="B32" s="125">
        <v>21685355.989999998</v>
      </c>
      <c r="C32" s="122">
        <v>2332433.64</v>
      </c>
      <c r="D32" s="122"/>
      <c r="E32" s="122">
        <v>3311164.91</v>
      </c>
      <c r="F32" s="423">
        <f t="shared" si="3"/>
        <v>27328954.539999999</v>
      </c>
      <c r="G32" s="450">
        <v>1</v>
      </c>
      <c r="H32" s="452" t="s">
        <v>161</v>
      </c>
      <c r="I32" s="123">
        <f t="shared" si="4"/>
        <v>27328954.539999999</v>
      </c>
      <c r="J32" s="124"/>
    </row>
    <row r="33" spans="1:10" s="126" customFormat="1" ht="20.25" customHeight="1">
      <c r="A33" s="127" t="s">
        <v>195</v>
      </c>
      <c r="B33" s="125">
        <v>22410272.82</v>
      </c>
      <c r="C33" s="122">
        <v>2410404.2400000002</v>
      </c>
      <c r="D33" s="122"/>
      <c r="E33" s="122">
        <v>3421853.4</v>
      </c>
      <c r="F33" s="423">
        <f t="shared" si="3"/>
        <v>28242530.460000001</v>
      </c>
      <c r="G33" s="453">
        <v>1</v>
      </c>
      <c r="H33" s="454" t="s">
        <v>161</v>
      </c>
      <c r="I33" s="123">
        <f t="shared" si="4"/>
        <v>28242530.460000001</v>
      </c>
      <c r="J33" s="124"/>
    </row>
    <row r="34" spans="1:10" s="126" customFormat="1" ht="20.25" customHeight="1" thickBot="1">
      <c r="A34" s="129" t="s">
        <v>196</v>
      </c>
      <c r="B34" s="435">
        <v>7546812.1900000004</v>
      </c>
      <c r="C34" s="130">
        <v>811720.07</v>
      </c>
      <c r="D34" s="130"/>
      <c r="E34" s="130">
        <v>1152332.47</v>
      </c>
      <c r="F34" s="423">
        <f t="shared" si="3"/>
        <v>9510864.7300000004</v>
      </c>
      <c r="G34" s="453">
        <v>17666</v>
      </c>
      <c r="H34" s="454" t="s">
        <v>162</v>
      </c>
      <c r="I34" s="123">
        <f t="shared" si="4"/>
        <v>538.37114966602519</v>
      </c>
      <c r="J34" s="124"/>
    </row>
    <row r="35" spans="1:10" s="134" customFormat="1" ht="21" customHeight="1" thickTop="1" thickBot="1">
      <c r="A35" s="131" t="s">
        <v>63</v>
      </c>
      <c r="B35" s="132">
        <f>SUM(B5:B34)</f>
        <v>869171922.94999981</v>
      </c>
      <c r="C35" s="132">
        <f t="shared" ref="C35:E35" si="5">SUM(C5:C34)</f>
        <v>164932546.28</v>
      </c>
      <c r="D35" s="132">
        <f t="shared" si="5"/>
        <v>9963717.0500000007</v>
      </c>
      <c r="E35" s="132">
        <f t="shared" si="5"/>
        <v>246376807.04999998</v>
      </c>
      <c r="F35" s="132">
        <f>SUM(F5:F34)</f>
        <v>1290444993.3299997</v>
      </c>
      <c r="G35" s="553"/>
      <c r="H35" s="554"/>
      <c r="I35" s="555"/>
      <c r="J35" s="133"/>
    </row>
    <row r="36" spans="1:10" s="140" customFormat="1" ht="21.75" thickTop="1">
      <c r="A36" s="135"/>
      <c r="B36" s="136"/>
      <c r="C36" s="136"/>
      <c r="D36" s="136"/>
      <c r="E36" s="136"/>
      <c r="F36" s="136"/>
      <c r="G36" s="137"/>
      <c r="H36" s="138"/>
      <c r="I36" s="139"/>
      <c r="J36" s="108"/>
    </row>
    <row r="37" spans="1:10" s="140" customFormat="1">
      <c r="A37" s="135"/>
      <c r="B37" s="136"/>
      <c r="C37" s="136"/>
      <c r="D37" s="136"/>
      <c r="E37" s="136"/>
      <c r="F37" s="136"/>
      <c r="G37" s="137"/>
      <c r="H37" s="138"/>
      <c r="I37" s="139"/>
      <c r="J37" s="108"/>
    </row>
    <row r="38" spans="1:10" s="140" customFormat="1">
      <c r="A38" s="135"/>
      <c r="B38" s="136"/>
      <c r="C38" s="136"/>
      <c r="D38" s="136"/>
      <c r="E38" s="136"/>
      <c r="F38" s="136"/>
      <c r="G38" s="137"/>
      <c r="H38" s="138"/>
      <c r="I38" s="139"/>
      <c r="J38" s="108"/>
    </row>
    <row r="39" spans="1:10" s="140" customFormat="1">
      <c r="A39" s="135"/>
      <c r="B39" s="136"/>
      <c r="C39" s="136"/>
      <c r="D39" s="136"/>
      <c r="E39" s="136"/>
      <c r="F39" s="136"/>
      <c r="G39" s="137"/>
      <c r="H39" s="138"/>
      <c r="I39" s="139"/>
      <c r="J39" s="108"/>
    </row>
    <row r="40" spans="1:10" s="140" customFormat="1">
      <c r="A40" s="396"/>
      <c r="B40" s="162"/>
      <c r="C40" s="162"/>
      <c r="D40" s="162"/>
      <c r="E40" s="162"/>
      <c r="F40" s="162"/>
      <c r="G40" s="137"/>
      <c r="H40" s="138"/>
      <c r="I40" s="397"/>
      <c r="J40" s="108"/>
    </row>
    <row r="41" spans="1:10" s="140" customFormat="1">
      <c r="A41" s="135"/>
      <c r="B41" s="136"/>
      <c r="C41" s="136"/>
      <c r="D41" s="136"/>
      <c r="E41" s="136"/>
      <c r="F41" s="136"/>
      <c r="G41" s="137"/>
      <c r="H41" s="138"/>
      <c r="I41" s="139"/>
      <c r="J41" s="108"/>
    </row>
    <row r="42" spans="1:10" s="140" customFormat="1">
      <c r="A42" s="135"/>
      <c r="B42" s="136"/>
      <c r="C42" s="136"/>
      <c r="D42" s="136"/>
      <c r="E42" s="136"/>
      <c r="F42" s="136"/>
      <c r="G42" s="137"/>
      <c r="H42" s="138"/>
      <c r="I42" s="139"/>
      <c r="J42" s="108"/>
    </row>
    <row r="43" spans="1:10" s="140" customFormat="1">
      <c r="A43" s="135"/>
      <c r="B43" s="136"/>
      <c r="C43" s="136"/>
      <c r="D43" s="136"/>
      <c r="E43" s="136"/>
      <c r="F43" s="136"/>
      <c r="G43" s="137"/>
      <c r="H43" s="138"/>
      <c r="I43" s="139"/>
      <c r="J43" s="108"/>
    </row>
    <row r="44" spans="1:10" s="140" customFormat="1">
      <c r="A44" s="135"/>
      <c r="B44" s="136"/>
      <c r="C44" s="136"/>
      <c r="D44" s="136"/>
      <c r="E44" s="136"/>
      <c r="F44" s="136"/>
      <c r="G44" s="137"/>
      <c r="H44" s="138"/>
      <c r="I44" s="139"/>
      <c r="J44" s="108"/>
    </row>
    <row r="45" spans="1:10" s="140" customFormat="1">
      <c r="A45" s="135"/>
      <c r="B45" s="136"/>
      <c r="C45" s="136"/>
      <c r="D45" s="136"/>
      <c r="E45" s="136"/>
      <c r="F45" s="136"/>
      <c r="G45" s="137"/>
      <c r="H45" s="138"/>
      <c r="I45" s="139"/>
      <c r="J45" s="108"/>
    </row>
    <row r="46" spans="1:10" s="140" customFormat="1">
      <c r="A46" s="135"/>
      <c r="B46" s="136"/>
      <c r="C46" s="136"/>
      <c r="D46" s="136"/>
      <c r="E46" s="136"/>
      <c r="F46" s="136"/>
      <c r="G46" s="137"/>
      <c r="H46" s="138"/>
      <c r="I46" s="139"/>
      <c r="J46" s="108"/>
    </row>
    <row r="47" spans="1:10" s="140" customFormat="1">
      <c r="A47" s="135"/>
      <c r="B47" s="136"/>
      <c r="C47" s="136"/>
      <c r="D47" s="136"/>
      <c r="E47" s="136"/>
      <c r="F47" s="136"/>
      <c r="G47" s="137"/>
      <c r="H47" s="138"/>
      <c r="I47" s="139"/>
      <c r="J47" s="108"/>
    </row>
    <row r="48" spans="1:10" s="140" customFormat="1">
      <c r="A48" s="135"/>
      <c r="B48" s="136"/>
      <c r="C48" s="136"/>
      <c r="D48" s="136"/>
      <c r="E48" s="136"/>
      <c r="F48" s="136"/>
      <c r="G48" s="137"/>
      <c r="H48" s="138"/>
      <c r="I48" s="139"/>
      <c r="J48" s="108"/>
    </row>
    <row r="49" spans="1:10" s="140" customFormat="1">
      <c r="A49" s="135"/>
      <c r="B49" s="136"/>
      <c r="C49" s="136"/>
      <c r="D49" s="136"/>
      <c r="E49" s="136"/>
      <c r="F49" s="136"/>
      <c r="G49" s="137"/>
      <c r="H49" s="138"/>
      <c r="I49" s="139"/>
      <c r="J49" s="108"/>
    </row>
    <row r="50" spans="1:10" s="140" customFormat="1">
      <c r="A50" s="135"/>
      <c r="B50" s="136"/>
      <c r="C50" s="136"/>
      <c r="D50" s="136"/>
      <c r="E50" s="136"/>
      <c r="F50" s="136"/>
      <c r="G50" s="137"/>
      <c r="H50" s="138"/>
      <c r="I50" s="139"/>
      <c r="J50" s="108"/>
    </row>
    <row r="51" spans="1:10" s="140" customFormat="1">
      <c r="A51" s="135"/>
      <c r="B51" s="136"/>
      <c r="C51" s="136"/>
      <c r="D51" s="136"/>
      <c r="E51" s="136"/>
      <c r="F51" s="136"/>
      <c r="G51" s="137"/>
      <c r="H51" s="138"/>
      <c r="I51" s="139"/>
      <c r="J51" s="108"/>
    </row>
    <row r="52" spans="1:10" s="141" customFormat="1" ht="29.25" customHeight="1">
      <c r="B52" s="142"/>
      <c r="H52" s="143"/>
    </row>
    <row r="53" spans="1:10" s="141" customFormat="1" ht="51" customHeight="1">
      <c r="A53" s="548"/>
      <c r="B53" s="548"/>
      <c r="C53" s="548"/>
      <c r="D53" s="548"/>
      <c r="E53" s="548"/>
      <c r="F53" s="548"/>
      <c r="G53" s="548"/>
      <c r="H53" s="548"/>
      <c r="I53" s="548"/>
      <c r="J53" s="144"/>
    </row>
    <row r="55" spans="1:10">
      <c r="D55" s="99"/>
    </row>
  </sheetData>
  <mergeCells count="5">
    <mergeCell ref="A53:I53"/>
    <mergeCell ref="G4:H4"/>
    <mergeCell ref="A1:I1"/>
    <mergeCell ref="A2:I2"/>
    <mergeCell ref="G35:I35"/>
  </mergeCells>
  <phoneticPr fontId="3" type="noConversion"/>
  <printOptions horizontalCentered="1" verticalCentered="1"/>
  <pageMargins left="0.31496062992125984" right="0.19685039370078741" top="0.54" bottom="0.23622047244094491" header="0.31496062992125984" footer="0.15748031496062992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3"/>
  <sheetViews>
    <sheetView topLeftCell="A13" zoomScale="80" zoomScaleNormal="80" workbookViewId="0">
      <selection activeCell="G14" sqref="G14"/>
    </sheetView>
  </sheetViews>
  <sheetFormatPr defaultRowHeight="20.25" customHeight="1"/>
  <cols>
    <col min="1" max="1" width="56" style="3" customWidth="1"/>
    <col min="2" max="2" width="16.28515625" style="146" bestFit="1" customWidth="1"/>
    <col min="3" max="3" width="18" style="3" bestFit="1" customWidth="1"/>
    <col min="4" max="4" width="14.28515625" style="3" bestFit="1" customWidth="1"/>
    <col min="5" max="5" width="15.85546875" style="3" bestFit="1" customWidth="1"/>
    <col min="6" max="6" width="17.42578125" style="3" bestFit="1" customWidth="1"/>
    <col min="7" max="7" width="12" style="124" customWidth="1"/>
    <col min="8" max="8" width="9.85546875" style="3" customWidth="1"/>
    <col min="9" max="9" width="14.85546875" style="3" customWidth="1"/>
    <col min="10" max="10" width="9.140625" style="3"/>
    <col min="11" max="11" width="12.28515625" style="3" bestFit="1" customWidth="1"/>
    <col min="12" max="16384" width="9.140625" style="3"/>
  </cols>
  <sheetData>
    <row r="1" spans="1:11" ht="20.25" customHeight="1">
      <c r="A1" s="559" t="s">
        <v>0</v>
      </c>
      <c r="B1" s="559"/>
      <c r="C1" s="559"/>
      <c r="D1" s="559"/>
      <c r="E1" s="559"/>
      <c r="F1" s="559"/>
      <c r="G1" s="559"/>
      <c r="H1" s="559"/>
      <c r="I1" s="559"/>
    </row>
    <row r="2" spans="1:11" ht="20.25" customHeight="1">
      <c r="A2" s="145" t="s">
        <v>39</v>
      </c>
    </row>
    <row r="3" spans="1:11" ht="8.25" customHeight="1">
      <c r="A3" s="145"/>
    </row>
    <row r="4" spans="1:11" ht="20.25" customHeight="1">
      <c r="A4" s="147" t="s">
        <v>425</v>
      </c>
      <c r="B4" s="469"/>
      <c r="I4" s="92" t="s">
        <v>35</v>
      </c>
    </row>
    <row r="5" spans="1:11" s="150" customFormat="1" ht="20.25" customHeight="1">
      <c r="A5" s="148" t="s">
        <v>16</v>
      </c>
      <c r="B5" s="149" t="s">
        <v>6</v>
      </c>
      <c r="C5" s="149" t="s">
        <v>7</v>
      </c>
      <c r="D5" s="149" t="s">
        <v>10</v>
      </c>
      <c r="E5" s="149" t="s">
        <v>11</v>
      </c>
      <c r="F5" s="149" t="s">
        <v>12</v>
      </c>
      <c r="G5" s="556" t="s">
        <v>13</v>
      </c>
      <c r="H5" s="557"/>
      <c r="I5" s="149" t="s">
        <v>14</v>
      </c>
    </row>
    <row r="6" spans="1:11" ht="20.25" customHeight="1">
      <c r="A6" s="151" t="s">
        <v>17</v>
      </c>
      <c r="B6" s="122">
        <f t="shared" ref="B6:G6" si="0">+B7+B10</f>
        <v>178880382.14999998</v>
      </c>
      <c r="C6" s="122">
        <f t="shared" si="0"/>
        <v>63565688.370000005</v>
      </c>
      <c r="D6" s="122">
        <f t="shared" si="0"/>
        <v>3972810.96</v>
      </c>
      <c r="E6" s="122">
        <f t="shared" si="0"/>
        <v>33909882.159999996</v>
      </c>
      <c r="F6" s="122">
        <f t="shared" si="0"/>
        <v>280328763.63999999</v>
      </c>
      <c r="G6" s="448">
        <f t="shared" si="0"/>
        <v>6540.4100000000008</v>
      </c>
      <c r="H6" s="470" t="s">
        <v>41</v>
      </c>
      <c r="I6" s="123">
        <f>F6/G6</f>
        <v>42861.038320227621</v>
      </c>
      <c r="K6" s="152"/>
    </row>
    <row r="7" spans="1:11" ht="20.25" customHeight="1">
      <c r="A7" s="153" t="s">
        <v>133</v>
      </c>
      <c r="B7" s="122">
        <f t="shared" ref="B7:G7" si="1">+B8+B9</f>
        <v>178385325.45999998</v>
      </c>
      <c r="C7" s="122">
        <f t="shared" si="1"/>
        <v>63255394.900000006</v>
      </c>
      <c r="D7" s="122">
        <f t="shared" si="1"/>
        <v>3940645.21</v>
      </c>
      <c r="E7" s="122">
        <f t="shared" si="1"/>
        <v>33661849.109999999</v>
      </c>
      <c r="F7" s="122">
        <f t="shared" si="1"/>
        <v>279243214.68000001</v>
      </c>
      <c r="G7" s="448">
        <f t="shared" si="1"/>
        <v>6503.35</v>
      </c>
      <c r="H7" s="470" t="s">
        <v>41</v>
      </c>
      <c r="I7" s="123">
        <f>F7/G7</f>
        <v>42938.364793529487</v>
      </c>
    </row>
    <row r="8" spans="1:11" ht="20.25" customHeight="1">
      <c r="A8" s="101" t="s">
        <v>29</v>
      </c>
      <c r="B8" s="122">
        <v>125440829.63</v>
      </c>
      <c r="C8" s="122">
        <v>46916302.270000003</v>
      </c>
      <c r="D8" s="122">
        <v>2926723.25</v>
      </c>
      <c r="E8" s="122">
        <v>21937403.579999998</v>
      </c>
      <c r="F8" s="122">
        <f>SUM(B8:E8)</f>
        <v>197221258.73000002</v>
      </c>
      <c r="G8" s="448">
        <f>+ต้นทุนผลผลผลิตการเรียนการสอน!E10</f>
        <v>5262.5700000000006</v>
      </c>
      <c r="H8" s="470" t="s">
        <v>41</v>
      </c>
      <c r="I8" s="123">
        <f t="shared" ref="I8:I31" si="2">F8/G8</f>
        <v>37476.225253060766</v>
      </c>
      <c r="K8" s="154"/>
    </row>
    <row r="9" spans="1:11" ht="20.25" customHeight="1">
      <c r="A9" s="101" t="s">
        <v>27</v>
      </c>
      <c r="B9" s="122">
        <v>52944495.829999998</v>
      </c>
      <c r="C9" s="122">
        <v>16339092.630000001</v>
      </c>
      <c r="D9" s="122">
        <v>1013921.96</v>
      </c>
      <c r="E9" s="122">
        <v>11724445.529999999</v>
      </c>
      <c r="F9" s="122">
        <f>SUM(B9:E9)</f>
        <v>82021955.949999988</v>
      </c>
      <c r="G9" s="448">
        <f>+ต้นทุนผลผลผลิตการเรียนการสอน!E14</f>
        <v>1240.78</v>
      </c>
      <c r="H9" s="470" t="s">
        <v>41</v>
      </c>
      <c r="I9" s="123">
        <f t="shared" si="2"/>
        <v>66105.156393558878</v>
      </c>
    </row>
    <row r="10" spans="1:11" ht="20.25" customHeight="1">
      <c r="A10" s="153" t="s">
        <v>134</v>
      </c>
      <c r="B10" s="122">
        <f t="shared" ref="B10:G10" si="3">+B11</f>
        <v>495056.69</v>
      </c>
      <c r="C10" s="122">
        <f t="shared" si="3"/>
        <v>310293.46999999997</v>
      </c>
      <c r="D10" s="122">
        <f t="shared" si="3"/>
        <v>32165.75</v>
      </c>
      <c r="E10" s="122">
        <f t="shared" si="3"/>
        <v>248033.05</v>
      </c>
      <c r="F10" s="122">
        <f t="shared" si="3"/>
        <v>1085548.96</v>
      </c>
      <c r="G10" s="448">
        <f t="shared" si="3"/>
        <v>37.06</v>
      </c>
      <c r="H10" s="470" t="s">
        <v>41</v>
      </c>
      <c r="I10" s="123">
        <f t="shared" si="2"/>
        <v>29291.661090124122</v>
      </c>
    </row>
    <row r="11" spans="1:11" ht="20.25" customHeight="1">
      <c r="A11" s="101" t="s">
        <v>29</v>
      </c>
      <c r="B11" s="122">
        <v>495056.69</v>
      </c>
      <c r="C11" s="122">
        <v>310293.46999999997</v>
      </c>
      <c r="D11" s="122">
        <v>32165.75</v>
      </c>
      <c r="E11" s="122">
        <v>248033.05</v>
      </c>
      <c r="F11" s="122">
        <f t="shared" ref="F11:F31" si="4">SUM(B11:E11)</f>
        <v>1085548.96</v>
      </c>
      <c r="G11" s="448">
        <f>+ต้นทุนผลผลผลิตการเรียนการสอน!E36</f>
        <v>37.06</v>
      </c>
      <c r="H11" s="470" t="s">
        <v>41</v>
      </c>
      <c r="I11" s="123">
        <f t="shared" si="2"/>
        <v>29291.661090124122</v>
      </c>
    </row>
    <row r="12" spans="1:11" ht="20.25" customHeight="1">
      <c r="A12" s="151" t="s">
        <v>34</v>
      </c>
      <c r="B12" s="122">
        <f t="shared" ref="B12:G12" si="5">+B13+B15+B22</f>
        <v>627070378.51999998</v>
      </c>
      <c r="C12" s="122">
        <f t="shared" si="5"/>
        <v>93968641.909999996</v>
      </c>
      <c r="D12" s="122">
        <f t="shared" si="5"/>
        <v>5990906.0799999991</v>
      </c>
      <c r="E12" s="122">
        <f t="shared" si="5"/>
        <v>193853689.77000001</v>
      </c>
      <c r="F12" s="122">
        <f t="shared" si="5"/>
        <v>920883616.27999985</v>
      </c>
      <c r="G12" s="448">
        <f t="shared" si="5"/>
        <v>7331.33</v>
      </c>
      <c r="H12" s="470" t="s">
        <v>41</v>
      </c>
      <c r="I12" s="123">
        <f>F12/G12</f>
        <v>125609.35277500807</v>
      </c>
      <c r="K12" s="152"/>
    </row>
    <row r="13" spans="1:11" ht="20.25" customHeight="1">
      <c r="A13" s="153" t="s">
        <v>135</v>
      </c>
      <c r="B13" s="122">
        <f t="shared" ref="B13:G13" si="6">+B14</f>
        <v>37075259.409999996</v>
      </c>
      <c r="C13" s="122">
        <f t="shared" si="6"/>
        <v>3807135.66</v>
      </c>
      <c r="D13" s="122">
        <f t="shared" si="6"/>
        <v>317152.5</v>
      </c>
      <c r="E13" s="122">
        <f t="shared" si="6"/>
        <v>9365488.0800000001</v>
      </c>
      <c r="F13" s="122">
        <f t="shared" si="6"/>
        <v>50565035.649999991</v>
      </c>
      <c r="G13" s="448">
        <f t="shared" si="6"/>
        <v>425.25</v>
      </c>
      <c r="H13" s="470" t="s">
        <v>41</v>
      </c>
      <c r="I13" s="123">
        <f t="shared" si="2"/>
        <v>118906.60940623161</v>
      </c>
    </row>
    <row r="14" spans="1:11" ht="20.25" customHeight="1">
      <c r="A14" s="101" t="s">
        <v>24</v>
      </c>
      <c r="B14" s="122">
        <v>37075259.409999996</v>
      </c>
      <c r="C14" s="122">
        <v>3807135.66</v>
      </c>
      <c r="D14" s="122">
        <v>317152.5</v>
      </c>
      <c r="E14" s="122">
        <v>9365488.0800000001</v>
      </c>
      <c r="F14" s="122">
        <f t="shared" si="4"/>
        <v>50565035.649999991</v>
      </c>
      <c r="G14" s="448">
        <f>+ต้นทุนผลผลผลิตการเรียนการสอน!E6</f>
        <v>425.25</v>
      </c>
      <c r="H14" s="470" t="s">
        <v>41</v>
      </c>
      <c r="I14" s="123">
        <f t="shared" si="2"/>
        <v>118906.60940623161</v>
      </c>
    </row>
    <row r="15" spans="1:11" ht="20.25" customHeight="1">
      <c r="A15" s="153" t="s">
        <v>133</v>
      </c>
      <c r="B15" s="122">
        <f t="shared" ref="B15:G15" si="7">+B16+B17+B18+B19+B20+B21</f>
        <v>587237538.88</v>
      </c>
      <c r="C15" s="122">
        <f t="shared" si="7"/>
        <v>89669407.260000005</v>
      </c>
      <c r="D15" s="122">
        <f t="shared" si="7"/>
        <v>5640225.4499999993</v>
      </c>
      <c r="E15" s="122">
        <f t="shared" si="7"/>
        <v>183710235.00999999</v>
      </c>
      <c r="F15" s="122">
        <f t="shared" si="7"/>
        <v>866257406.5999999</v>
      </c>
      <c r="G15" s="448">
        <f t="shared" si="7"/>
        <v>6874.04</v>
      </c>
      <c r="H15" s="470" t="s">
        <v>41</v>
      </c>
      <c r="I15" s="123">
        <f t="shared" si="2"/>
        <v>126018.67411303977</v>
      </c>
    </row>
    <row r="16" spans="1:11" ht="20.25" customHeight="1">
      <c r="A16" s="101" t="s">
        <v>26</v>
      </c>
      <c r="B16" s="122">
        <v>75051815.730000004</v>
      </c>
      <c r="C16" s="122">
        <v>11489824.619999999</v>
      </c>
      <c r="D16" s="122">
        <v>743106.49</v>
      </c>
      <c r="E16" s="122">
        <v>23134423.18</v>
      </c>
      <c r="F16" s="122">
        <f t="shared" si="4"/>
        <v>110419170.02000001</v>
      </c>
      <c r="G16" s="448">
        <f>+ต้นทุนผลผลผลิตการเรียนการสอน!E17</f>
        <v>911.07</v>
      </c>
      <c r="H16" s="470" t="s">
        <v>41</v>
      </c>
      <c r="I16" s="123">
        <f t="shared" si="2"/>
        <v>121197.24062915034</v>
      </c>
    </row>
    <row r="17" spans="1:9" ht="20.25" customHeight="1">
      <c r="A17" s="101" t="s">
        <v>25</v>
      </c>
      <c r="B17" s="122">
        <v>169764142.05000001</v>
      </c>
      <c r="C17" s="122">
        <v>15280172.189999999</v>
      </c>
      <c r="D17" s="122">
        <v>1249978.74</v>
      </c>
      <c r="E17" s="122">
        <v>31275104.859999999</v>
      </c>
      <c r="F17" s="122">
        <f t="shared" si="4"/>
        <v>217569397.84000003</v>
      </c>
      <c r="G17" s="448">
        <f>+ต้นทุนผลผลผลิตการเรียนการสอน!E20</f>
        <v>1538.31</v>
      </c>
      <c r="H17" s="470" t="s">
        <v>41</v>
      </c>
      <c r="I17" s="123">
        <f t="shared" si="2"/>
        <v>141434.03984892514</v>
      </c>
    </row>
    <row r="18" spans="1:9" ht="20.25" customHeight="1">
      <c r="A18" s="101" t="s">
        <v>103</v>
      </c>
      <c r="B18" s="122">
        <v>79909701.299999997</v>
      </c>
      <c r="C18" s="122">
        <v>7553385.9699999997</v>
      </c>
      <c r="D18" s="122">
        <v>185929.55</v>
      </c>
      <c r="E18" s="122">
        <v>30886645.52</v>
      </c>
      <c r="F18" s="122">
        <f t="shared" si="4"/>
        <v>118535662.33999999</v>
      </c>
      <c r="G18" s="448">
        <f>+ต้นทุนผลผลผลิตการเรียนการสอน!E23</f>
        <v>227.53</v>
      </c>
      <c r="H18" s="470" t="s">
        <v>41</v>
      </c>
      <c r="I18" s="123">
        <f t="shared" si="2"/>
        <v>520967.17944886384</v>
      </c>
    </row>
    <row r="19" spans="1:9" ht="20.25" customHeight="1">
      <c r="A19" s="101" t="s">
        <v>24</v>
      </c>
      <c r="B19" s="122">
        <v>183121414.88</v>
      </c>
      <c r="C19" s="122">
        <v>36898020.869999997</v>
      </c>
      <c r="D19" s="122">
        <v>2157121.6</v>
      </c>
      <c r="E19" s="122">
        <v>73157994.260000005</v>
      </c>
      <c r="F19" s="122">
        <f t="shared" si="4"/>
        <v>295334551.61000001</v>
      </c>
      <c r="G19" s="448">
        <f>+ต้นทุนผลผลผลิตการเรียนการสอน!E25</f>
        <v>2601.2600000000002</v>
      </c>
      <c r="H19" s="470" t="s">
        <v>41</v>
      </c>
      <c r="I19" s="123">
        <f t="shared" si="2"/>
        <v>113535.19125731375</v>
      </c>
    </row>
    <row r="20" spans="1:9" ht="20.25" customHeight="1">
      <c r="A20" s="101" t="s">
        <v>104</v>
      </c>
      <c r="B20" s="122">
        <v>47706787.560000002</v>
      </c>
      <c r="C20" s="122">
        <v>10001557.83</v>
      </c>
      <c r="D20" s="122">
        <v>756964.43</v>
      </c>
      <c r="E20" s="122">
        <v>16130412.73</v>
      </c>
      <c r="F20" s="122">
        <f t="shared" si="4"/>
        <v>74595722.549999997</v>
      </c>
      <c r="G20" s="448">
        <f>+ต้นทุนผลผลผลิตการเรียนการสอน!E30</f>
        <v>926.33</v>
      </c>
      <c r="H20" s="470" t="s">
        <v>41</v>
      </c>
      <c r="I20" s="123">
        <f t="shared" si="2"/>
        <v>80528.237831010541</v>
      </c>
    </row>
    <row r="21" spans="1:9" ht="20.25" customHeight="1">
      <c r="A21" s="101" t="s">
        <v>28</v>
      </c>
      <c r="B21" s="122">
        <v>31683677.359999999</v>
      </c>
      <c r="C21" s="122">
        <v>8446445.7799999993</v>
      </c>
      <c r="D21" s="122">
        <v>547124.64</v>
      </c>
      <c r="E21" s="122">
        <v>9125654.4600000009</v>
      </c>
      <c r="F21" s="122">
        <f t="shared" si="4"/>
        <v>49802902.240000002</v>
      </c>
      <c r="G21" s="448">
        <f>+ต้นทุนผลผลผลิตการเรียนการสอน!E32</f>
        <v>669.54</v>
      </c>
      <c r="H21" s="470" t="s">
        <v>41</v>
      </c>
      <c r="I21" s="123">
        <f t="shared" si="2"/>
        <v>74383.759357170595</v>
      </c>
    </row>
    <row r="22" spans="1:9" ht="20.25" customHeight="1">
      <c r="A22" s="153" t="s">
        <v>134</v>
      </c>
      <c r="B22" s="122">
        <f t="shared" ref="B22:G22" si="8">+B23+B24+B25</f>
        <v>2757580.23</v>
      </c>
      <c r="C22" s="122">
        <f t="shared" si="8"/>
        <v>492098.99</v>
      </c>
      <c r="D22" s="122">
        <f t="shared" si="8"/>
        <v>33528.129999999997</v>
      </c>
      <c r="E22" s="122">
        <f t="shared" si="8"/>
        <v>777966.67999999993</v>
      </c>
      <c r="F22" s="122">
        <f t="shared" si="8"/>
        <v>4061174.0300000003</v>
      </c>
      <c r="G22" s="448">
        <f t="shared" si="8"/>
        <v>32.04</v>
      </c>
      <c r="H22" s="470" t="s">
        <v>41</v>
      </c>
      <c r="I22" s="123">
        <f t="shared" si="2"/>
        <v>126753.24687890138</v>
      </c>
    </row>
    <row r="23" spans="1:9" ht="20.25" customHeight="1">
      <c r="A23" s="101" t="s">
        <v>26</v>
      </c>
      <c r="B23" s="122">
        <v>1084209.29</v>
      </c>
      <c r="C23" s="122">
        <v>131524</v>
      </c>
      <c r="D23" s="122">
        <v>8873.23</v>
      </c>
      <c r="E23" s="122">
        <v>313197.3</v>
      </c>
      <c r="F23" s="122">
        <f t="shared" si="4"/>
        <v>1537803.82</v>
      </c>
      <c r="G23" s="448">
        <f>+ต้นทุนผลผลผลิตการเรียนการสอน!E39</f>
        <v>9.16</v>
      </c>
      <c r="H23" s="470" t="s">
        <v>41</v>
      </c>
      <c r="I23" s="123">
        <f t="shared" si="2"/>
        <v>167882.51310043668</v>
      </c>
    </row>
    <row r="24" spans="1:9" ht="20.25" customHeight="1">
      <c r="A24" s="101" t="s">
        <v>25</v>
      </c>
      <c r="B24" s="122">
        <v>938131.83</v>
      </c>
      <c r="C24" s="122">
        <v>92604.7</v>
      </c>
      <c r="D24" s="122">
        <v>8502.27</v>
      </c>
      <c r="E24" s="122">
        <v>121048.23</v>
      </c>
      <c r="F24" s="122">
        <f t="shared" si="4"/>
        <v>1160287.03</v>
      </c>
      <c r="G24" s="448">
        <f>+ต้นทุนผลผลผลิตการเรียนการสอน!E42</f>
        <v>4.5</v>
      </c>
      <c r="H24" s="470" t="s">
        <v>41</v>
      </c>
      <c r="I24" s="123">
        <f t="shared" si="2"/>
        <v>257841.56222222222</v>
      </c>
    </row>
    <row r="25" spans="1:9" ht="20.25" customHeight="1">
      <c r="A25" s="101" t="s">
        <v>24</v>
      </c>
      <c r="B25" s="122">
        <v>735239.11</v>
      </c>
      <c r="C25" s="122">
        <v>267970.28999999998</v>
      </c>
      <c r="D25" s="122">
        <v>16152.63</v>
      </c>
      <c r="E25" s="122">
        <v>343721.15</v>
      </c>
      <c r="F25" s="122">
        <f t="shared" si="4"/>
        <v>1363083.18</v>
      </c>
      <c r="G25" s="448">
        <f>+ต้นทุนผลผลผลิตการเรียนการสอน!E44</f>
        <v>18.38</v>
      </c>
      <c r="H25" s="470" t="s">
        <v>41</v>
      </c>
      <c r="I25" s="123">
        <f t="shared" si="2"/>
        <v>74161.217627856371</v>
      </c>
    </row>
    <row r="26" spans="1:9" ht="20.25" customHeight="1">
      <c r="A26" s="153" t="s">
        <v>36</v>
      </c>
      <c r="B26" s="122">
        <v>3970082.76</v>
      </c>
      <c r="C26" s="122">
        <v>1260015.2</v>
      </c>
      <c r="D26" s="122">
        <v>0</v>
      </c>
      <c r="E26" s="122">
        <v>1502395.17</v>
      </c>
      <c r="F26" s="122">
        <f t="shared" si="4"/>
        <v>6732493.1299999999</v>
      </c>
      <c r="G26" s="448">
        <v>148</v>
      </c>
      <c r="H26" s="470" t="s">
        <v>22</v>
      </c>
      <c r="I26" s="123">
        <f t="shared" si="2"/>
        <v>45489.818445945944</v>
      </c>
    </row>
    <row r="27" spans="1:9" ht="20.25" customHeight="1">
      <c r="A27" s="153" t="s">
        <v>19</v>
      </c>
      <c r="B27" s="122">
        <v>7604941.0099999998</v>
      </c>
      <c r="C27" s="122">
        <v>1953970.8</v>
      </c>
      <c r="D27" s="122">
        <v>0</v>
      </c>
      <c r="E27" s="122">
        <v>2884349.97</v>
      </c>
      <c r="F27" s="122">
        <f t="shared" si="4"/>
        <v>12443261.780000001</v>
      </c>
      <c r="G27" s="448">
        <v>158</v>
      </c>
      <c r="H27" s="470" t="s">
        <v>22</v>
      </c>
      <c r="I27" s="123">
        <f t="shared" si="2"/>
        <v>78754.821392405065</v>
      </c>
    </row>
    <row r="28" spans="1:9" ht="20.25" customHeight="1">
      <c r="A28" s="153" t="s">
        <v>20</v>
      </c>
      <c r="B28" s="122">
        <v>26335500</v>
      </c>
      <c r="C28" s="122">
        <v>1558570</v>
      </c>
      <c r="D28" s="122">
        <v>0</v>
      </c>
      <c r="E28" s="122">
        <v>7324081.6500000004</v>
      </c>
      <c r="F28" s="122">
        <f t="shared" si="4"/>
        <v>35218151.649999999</v>
      </c>
      <c r="G28" s="448">
        <v>148</v>
      </c>
      <c r="H28" s="470" t="s">
        <v>22</v>
      </c>
      <c r="I28" s="123">
        <f t="shared" si="2"/>
        <v>237960.48412162162</v>
      </c>
    </row>
    <row r="29" spans="1:9" ht="20.25" customHeight="1">
      <c r="A29" s="155" t="s">
        <v>21</v>
      </c>
      <c r="B29" s="122">
        <v>16833700</v>
      </c>
      <c r="C29" s="122">
        <v>2625660</v>
      </c>
      <c r="D29" s="122">
        <v>0</v>
      </c>
      <c r="E29" s="122">
        <v>5418058.9699999997</v>
      </c>
      <c r="F29" s="122">
        <f t="shared" si="4"/>
        <v>24877418.969999999</v>
      </c>
      <c r="G29" s="448">
        <v>159</v>
      </c>
      <c r="H29" s="470" t="s">
        <v>22</v>
      </c>
      <c r="I29" s="123">
        <f t="shared" si="2"/>
        <v>156461.75452830188</v>
      </c>
    </row>
    <row r="30" spans="1:9" ht="20.25" customHeight="1">
      <c r="A30" s="155" t="s">
        <v>496</v>
      </c>
      <c r="B30" s="122">
        <v>3178523.52</v>
      </c>
      <c r="C30" s="122">
        <v>0</v>
      </c>
      <c r="D30" s="122">
        <v>0</v>
      </c>
      <c r="E30" s="122">
        <v>165266.29999999999</v>
      </c>
      <c r="F30" s="448">
        <f t="shared" si="4"/>
        <v>3343789.82</v>
      </c>
      <c r="G30" s="448">
        <v>24</v>
      </c>
      <c r="H30" s="471" t="s">
        <v>22</v>
      </c>
      <c r="I30" s="123">
        <f t="shared" si="2"/>
        <v>139324.57583333334</v>
      </c>
    </row>
    <row r="31" spans="1:9" ht="20.25" customHeight="1" thickBot="1">
      <c r="A31" s="514" t="s">
        <v>199</v>
      </c>
      <c r="B31" s="130">
        <v>5298414.99</v>
      </c>
      <c r="C31" s="130">
        <v>0</v>
      </c>
      <c r="D31" s="130">
        <v>0</v>
      </c>
      <c r="E31" s="130">
        <v>1319083.06</v>
      </c>
      <c r="F31" s="515">
        <f t="shared" si="4"/>
        <v>6617498.0500000007</v>
      </c>
      <c r="G31" s="515">
        <v>41</v>
      </c>
      <c r="H31" s="471" t="s">
        <v>22</v>
      </c>
      <c r="I31" s="516">
        <f t="shared" si="2"/>
        <v>161402.39146341465</v>
      </c>
    </row>
    <row r="32" spans="1:9" s="156" customFormat="1" ht="20.25" customHeight="1" thickTop="1" thickBot="1">
      <c r="A32" s="517" t="s">
        <v>63</v>
      </c>
      <c r="B32" s="518">
        <f>+B6+B12+B26+B27+B28+B29+B30+B31</f>
        <v>869171922.94999993</v>
      </c>
      <c r="C32" s="518">
        <f>+C6+C12+C26+C27+C28+C29+C30+C31</f>
        <v>164932546.28</v>
      </c>
      <c r="D32" s="518">
        <f>+D6+D12+D26+D27+D28+D29+D30+D31</f>
        <v>9963717.0399999991</v>
      </c>
      <c r="E32" s="518">
        <f>+E6+E12+E26+E27+E28+E29+E30+E31</f>
        <v>246376807.05000001</v>
      </c>
      <c r="F32" s="518">
        <f>+F6+F12+F26+F27+F28+F29+F30+F31</f>
        <v>1290444993.3199999</v>
      </c>
      <c r="G32" s="558"/>
      <c r="H32" s="558"/>
      <c r="I32" s="558"/>
    </row>
    <row r="33" spans="1:9" s="156" customFormat="1" ht="20.25" customHeight="1" thickTop="1">
      <c r="A33" s="157"/>
      <c r="B33" s="158"/>
      <c r="C33" s="158"/>
      <c r="D33" s="158"/>
      <c r="E33" s="158"/>
      <c r="F33" s="158"/>
      <c r="G33" s="159"/>
      <c r="H33" s="157"/>
      <c r="I33" s="157"/>
    </row>
  </sheetData>
  <mergeCells count="3">
    <mergeCell ref="G5:H5"/>
    <mergeCell ref="G32:I32"/>
    <mergeCell ref="A1:I1"/>
  </mergeCells>
  <phoneticPr fontId="3" type="noConversion"/>
  <printOptions horizontalCentered="1" verticalCentered="1"/>
  <pageMargins left="0.55118110236220474" right="0.51181102362204722" top="0.56000000000000005" bottom="0.19" header="0.35433070866141736" footer="0.16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2"/>
  <sheetViews>
    <sheetView topLeftCell="A16" workbookViewId="0">
      <selection activeCell="A17" sqref="A17:D17"/>
    </sheetView>
  </sheetViews>
  <sheetFormatPr defaultRowHeight="21.75" customHeight="1"/>
  <cols>
    <col min="1" max="1" width="5.7109375" style="1" customWidth="1"/>
    <col min="2" max="2" width="41.140625" style="1" customWidth="1"/>
    <col min="3" max="5" width="21.5703125" style="1" customWidth="1"/>
    <col min="6" max="16384" width="9.140625" style="1"/>
  </cols>
  <sheetData>
    <row r="1" spans="1:5" ht="21.75" customHeight="1">
      <c r="A1" s="543" t="s">
        <v>37</v>
      </c>
      <c r="B1" s="543"/>
      <c r="C1" s="543"/>
      <c r="D1" s="543"/>
      <c r="E1" s="543"/>
    </row>
    <row r="2" spans="1:5" ht="21.75" customHeight="1">
      <c r="A2" s="90"/>
      <c r="B2" s="90"/>
      <c r="C2" s="160"/>
      <c r="D2" s="160"/>
      <c r="E2" s="160"/>
    </row>
    <row r="3" spans="1:5" ht="21.75" customHeight="1">
      <c r="A3" s="541" t="s">
        <v>39</v>
      </c>
      <c r="B3" s="541"/>
      <c r="C3" s="160"/>
      <c r="D3" s="160"/>
      <c r="E3" s="160"/>
    </row>
    <row r="4" spans="1:5" ht="21.75" customHeight="1">
      <c r="A4" s="91"/>
      <c r="B4" s="91"/>
    </row>
    <row r="5" spans="1:5" ht="21.75" customHeight="1">
      <c r="A5" s="545" t="s">
        <v>427</v>
      </c>
      <c r="B5" s="545"/>
      <c r="C5" s="545"/>
      <c r="D5" s="545"/>
      <c r="E5" s="545"/>
    </row>
    <row r="6" spans="1:5" ht="21.75" customHeight="1">
      <c r="E6" s="161"/>
    </row>
    <row r="7" spans="1:5" s="90" customFormat="1" ht="21.75" customHeight="1">
      <c r="A7" s="93" t="s">
        <v>66</v>
      </c>
      <c r="B7" s="93" t="s">
        <v>1</v>
      </c>
      <c r="C7" s="284" t="s">
        <v>202</v>
      </c>
      <c r="D7" s="284" t="s">
        <v>426</v>
      </c>
      <c r="E7" s="93" t="s">
        <v>166</v>
      </c>
    </row>
    <row r="8" spans="1:5" s="36" customFormat="1" ht="21.75" customHeight="1">
      <c r="A8" s="487">
        <v>1</v>
      </c>
      <c r="B8" s="44" t="s">
        <v>2</v>
      </c>
      <c r="C8" s="303">
        <v>1073695800</v>
      </c>
      <c r="D8" s="303">
        <f>+'ตารางที่ 1'!C10</f>
        <v>1263921900</v>
      </c>
      <c r="E8" s="496">
        <f>+(D8-C8)/C8</f>
        <v>0.17716945525911529</v>
      </c>
    </row>
    <row r="9" spans="1:5" s="36" customFormat="1" ht="21.75" customHeight="1">
      <c r="A9" s="487">
        <v>2</v>
      </c>
      <c r="B9" s="95" t="s">
        <v>110</v>
      </c>
      <c r="C9" s="303">
        <v>432691930</v>
      </c>
      <c r="D9" s="303">
        <f>+'ตารางที่ 1'!C11</f>
        <v>449021610</v>
      </c>
      <c r="E9" s="496">
        <f>+(D9-C9)/C9</f>
        <v>3.7739737831486708E-2</v>
      </c>
    </row>
    <row r="10" spans="1:5" ht="21.75" customHeight="1">
      <c r="A10" s="94">
        <v>3</v>
      </c>
      <c r="B10" s="97" t="s">
        <v>3</v>
      </c>
      <c r="C10" s="165">
        <v>0</v>
      </c>
      <c r="D10" s="163">
        <f>+'ตารางที่ 1'!C12</f>
        <v>0</v>
      </c>
      <c r="E10" s="164">
        <v>0</v>
      </c>
    </row>
    <row r="11" spans="1:5" ht="21.75" customHeight="1">
      <c r="A11" s="94">
        <v>4</v>
      </c>
      <c r="B11" s="97" t="s">
        <v>65</v>
      </c>
      <c r="C11" s="165">
        <v>0</v>
      </c>
      <c r="D11" s="163">
        <f>+'ตารางที่ 1'!C13</f>
        <v>0</v>
      </c>
      <c r="E11" s="164">
        <v>0</v>
      </c>
    </row>
    <row r="12" spans="1:5" ht="21.75" customHeight="1">
      <c r="A12" s="94">
        <v>5</v>
      </c>
      <c r="B12" s="97" t="s">
        <v>142</v>
      </c>
      <c r="C12" s="165">
        <v>0</v>
      </c>
      <c r="D12" s="163">
        <f>+'ตารางที่ 1'!C14</f>
        <v>0</v>
      </c>
      <c r="E12" s="164">
        <v>0</v>
      </c>
    </row>
    <row r="13" spans="1:5" ht="21.75" customHeight="1">
      <c r="A13" s="94">
        <v>6</v>
      </c>
      <c r="B13" s="97" t="s">
        <v>4</v>
      </c>
      <c r="C13" s="163">
        <f>SUM(C8:C12)</f>
        <v>1506387730</v>
      </c>
      <c r="D13" s="163">
        <f>SUM(D8:D12)</f>
        <v>1712943510</v>
      </c>
      <c r="E13" s="164">
        <f>+(D13-C13)/C13</f>
        <v>0.13711992993994979</v>
      </c>
    </row>
    <row r="14" spans="1:5" ht="21.75" customHeight="1">
      <c r="A14" s="94">
        <v>7</v>
      </c>
      <c r="B14" s="97" t="s">
        <v>15</v>
      </c>
      <c r="C14" s="2">
        <v>2160017915.4099998</v>
      </c>
      <c r="D14" s="303">
        <f>+'ตารางที่ 1'!C16</f>
        <v>0</v>
      </c>
      <c r="E14" s="164">
        <f>+(D14-C14)/C14</f>
        <v>-1</v>
      </c>
    </row>
    <row r="15" spans="1:5" ht="21.75" customHeight="1">
      <c r="A15" s="166"/>
      <c r="B15" s="104"/>
      <c r="C15" s="167"/>
      <c r="D15" s="162"/>
      <c r="E15" s="168"/>
    </row>
    <row r="16" spans="1:5" ht="21.75" customHeight="1">
      <c r="A16" s="104" t="s">
        <v>68</v>
      </c>
      <c r="B16" s="104"/>
      <c r="D16" s="98"/>
      <c r="E16" s="98"/>
    </row>
    <row r="17" spans="1:6" ht="13.5" customHeight="1">
      <c r="A17" s="544"/>
      <c r="B17" s="544"/>
      <c r="C17" s="544"/>
      <c r="D17" s="544"/>
      <c r="E17" s="169"/>
    </row>
    <row r="18" spans="1:6" ht="21.75" customHeight="1">
      <c r="A18" s="545" t="s">
        <v>415</v>
      </c>
      <c r="B18" s="545"/>
    </row>
    <row r="19" spans="1:6" ht="24" customHeight="1">
      <c r="A19" s="542" t="s">
        <v>504</v>
      </c>
      <c r="B19" s="542"/>
      <c r="C19" s="542"/>
      <c r="D19" s="542"/>
      <c r="E19" s="542"/>
    </row>
    <row r="20" spans="1:6" ht="24" customHeight="1">
      <c r="A20" s="544" t="s">
        <v>514</v>
      </c>
      <c r="B20" s="544"/>
      <c r="C20" s="544"/>
      <c r="D20" s="544"/>
      <c r="E20" s="544"/>
      <c r="F20" s="544"/>
    </row>
    <row r="21" spans="1:6" ht="48.75" customHeight="1">
      <c r="A21" s="544" t="s">
        <v>505</v>
      </c>
      <c r="B21" s="544"/>
      <c r="C21" s="544"/>
      <c r="D21" s="544"/>
      <c r="E21" s="544"/>
      <c r="F21" s="544"/>
    </row>
    <row r="22" spans="1:6" ht="25.5" customHeight="1">
      <c r="A22" s="560"/>
      <c r="B22" s="560"/>
      <c r="C22" s="560"/>
      <c r="D22" s="560"/>
      <c r="E22" s="560"/>
    </row>
  </sheetData>
  <mergeCells count="9">
    <mergeCell ref="A1:E1"/>
    <mergeCell ref="A18:B18"/>
    <mergeCell ref="A3:B3"/>
    <mergeCell ref="A22:E22"/>
    <mergeCell ref="A19:E19"/>
    <mergeCell ref="A5:E5"/>
    <mergeCell ref="A20:F20"/>
    <mergeCell ref="A17:D17"/>
    <mergeCell ref="A21:F21"/>
  </mergeCells>
  <phoneticPr fontId="3" type="noConversion"/>
  <printOptions horizontalCentered="1" verticalCentered="1"/>
  <pageMargins left="0.75" right="0.67" top="0.51181102362204722" bottom="0.39370078740157483" header="0.47244094488188981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3"/>
  <sheetViews>
    <sheetView topLeftCell="A10" zoomScale="80" zoomScaleNormal="80" workbookViewId="0">
      <selection activeCell="C24" sqref="C24"/>
    </sheetView>
  </sheetViews>
  <sheetFormatPr defaultColWidth="17.42578125" defaultRowHeight="21"/>
  <cols>
    <col min="1" max="1" width="41.140625" style="5" customWidth="1"/>
    <col min="2" max="2" width="17.42578125" style="183"/>
    <col min="3" max="4" width="17.42578125" style="5"/>
    <col min="5" max="5" width="20.85546875" style="5" customWidth="1"/>
    <col min="6" max="6" width="19.28515625" style="5" customWidth="1"/>
    <col min="7" max="8" width="17.42578125" style="5"/>
    <col min="9" max="9" width="19.140625" style="5" customWidth="1"/>
    <col min="10" max="10" width="13.85546875" style="5" customWidth="1"/>
    <col min="11" max="16384" width="17.42578125" style="5"/>
  </cols>
  <sheetData>
    <row r="1" spans="1:12" ht="26.25">
      <c r="A1" s="564" t="s">
        <v>37</v>
      </c>
      <c r="B1" s="564"/>
      <c r="C1" s="564"/>
      <c r="D1" s="564"/>
      <c r="E1" s="564"/>
      <c r="F1" s="564"/>
      <c r="G1" s="564"/>
      <c r="H1" s="564"/>
      <c r="I1" s="564"/>
      <c r="J1" s="564"/>
    </row>
    <row r="2" spans="1:12" s="141" customFormat="1" ht="23.25">
      <c r="A2" s="170" t="s">
        <v>38</v>
      </c>
      <c r="B2" s="171"/>
      <c r="C2" s="172"/>
      <c r="D2" s="172"/>
      <c r="E2" s="172"/>
    </row>
    <row r="3" spans="1:12" s="141" customFormat="1" ht="14.25" customHeight="1">
      <c r="A3" s="173"/>
      <c r="B3" s="142"/>
    </row>
    <row r="4" spans="1:12" ht="26.25" customHeight="1">
      <c r="A4" s="562" t="s">
        <v>428</v>
      </c>
      <c r="B4" s="562"/>
      <c r="C4" s="562"/>
      <c r="D4" s="562"/>
      <c r="E4" s="562"/>
    </row>
    <row r="5" spans="1:12" s="115" customFormat="1" ht="22.5" customHeight="1">
      <c r="A5" s="566" t="s">
        <v>5</v>
      </c>
      <c r="B5" s="566" t="s">
        <v>202</v>
      </c>
      <c r="C5" s="566"/>
      <c r="D5" s="566"/>
      <c r="E5" s="549"/>
      <c r="F5" s="565" t="s">
        <v>426</v>
      </c>
      <c r="G5" s="566"/>
      <c r="H5" s="566"/>
      <c r="I5" s="549"/>
      <c r="J5" s="567" t="s">
        <v>164</v>
      </c>
    </row>
    <row r="6" spans="1:12" s="115" customFormat="1" ht="22.5" customHeight="1">
      <c r="A6" s="566"/>
      <c r="B6" s="113" t="s">
        <v>6</v>
      </c>
      <c r="C6" s="113" t="s">
        <v>7</v>
      </c>
      <c r="D6" s="113" t="s">
        <v>23</v>
      </c>
      <c r="E6" s="174" t="s">
        <v>8</v>
      </c>
      <c r="F6" s="175" t="s">
        <v>6</v>
      </c>
      <c r="G6" s="113" t="s">
        <v>7</v>
      </c>
      <c r="H6" s="113" t="s">
        <v>23</v>
      </c>
      <c r="I6" s="174" t="s">
        <v>8</v>
      </c>
      <c r="J6" s="568"/>
    </row>
    <row r="7" spans="1:12" ht="22.5" customHeight="1">
      <c r="A7" s="176" t="s">
        <v>64</v>
      </c>
      <c r="B7" s="163">
        <v>244335999.55000001</v>
      </c>
      <c r="C7" s="163">
        <v>71428123.280000001</v>
      </c>
      <c r="D7" s="163">
        <v>12469630.060000001</v>
      </c>
      <c r="E7" s="467">
        <f>SUM(B7:D7)</f>
        <v>328233752.89000005</v>
      </c>
      <c r="F7" s="46">
        <f>+'ตารางที่ 2'!B8</f>
        <v>237887185.51000002</v>
      </c>
      <c r="G7" s="28">
        <f>+'ตารางที่ 2'!C8</f>
        <v>64805442.420000002</v>
      </c>
      <c r="H7" s="28">
        <f>+'ตารางที่ 2'!D8</f>
        <v>9963717.0500000007</v>
      </c>
      <c r="I7" s="398">
        <f>SUM(F7:H7)</f>
        <v>312656344.98000002</v>
      </c>
      <c r="J7" s="177">
        <f>(I7-E7)/E7</f>
        <v>-4.7458275612564542E-2</v>
      </c>
      <c r="K7" s="99"/>
      <c r="L7" s="99"/>
    </row>
    <row r="8" spans="1:12" ht="22.5" customHeight="1">
      <c r="A8" s="176" t="s">
        <v>113</v>
      </c>
      <c r="B8" s="163">
        <v>7264926.71</v>
      </c>
      <c r="C8" s="163">
        <v>556667</v>
      </c>
      <c r="D8" s="163">
        <v>0</v>
      </c>
      <c r="E8" s="467">
        <f t="shared" ref="E8:E14" si="0">SUM(B8:D8)</f>
        <v>7821593.71</v>
      </c>
      <c r="F8" s="46">
        <f>+'ตารางที่ 2'!B9</f>
        <v>6823210.1099999994</v>
      </c>
      <c r="G8" s="28">
        <f>+'ตารางที่ 2'!C9</f>
        <v>16576</v>
      </c>
      <c r="H8" s="28">
        <f>+'ตารางที่ 2'!D9</f>
        <v>0</v>
      </c>
      <c r="I8" s="398">
        <f t="shared" ref="I8:I14" si="1">SUM(F8:H8)</f>
        <v>6839786.1099999994</v>
      </c>
      <c r="J8" s="177">
        <f t="shared" ref="J8:J15" si="2">(I8-E8)/E8</f>
        <v>-0.12552526203767755</v>
      </c>
      <c r="K8" s="99"/>
      <c r="L8" s="99"/>
    </row>
    <row r="9" spans="1:12" ht="22.5" customHeight="1">
      <c r="A9" s="176" t="s">
        <v>114</v>
      </c>
      <c r="B9" s="163">
        <v>8079807.0199999996</v>
      </c>
      <c r="C9" s="163">
        <v>1620621.35</v>
      </c>
      <c r="D9" s="163">
        <v>0</v>
      </c>
      <c r="E9" s="467">
        <f t="shared" si="0"/>
        <v>9700428.3699999992</v>
      </c>
      <c r="F9" s="46">
        <f>+'ตารางที่ 2'!B10</f>
        <v>9230910.6999999993</v>
      </c>
      <c r="G9" s="28">
        <f>+'ตารางที่ 2'!C10</f>
        <v>6310452.3099999996</v>
      </c>
      <c r="H9" s="28">
        <f>+'ตารางที่ 2'!D10</f>
        <v>0</v>
      </c>
      <c r="I9" s="398">
        <f t="shared" si="1"/>
        <v>15541363.009999998</v>
      </c>
      <c r="J9" s="177">
        <f t="shared" si="2"/>
        <v>0.60213161905962298</v>
      </c>
      <c r="K9" s="99"/>
      <c r="L9" s="99"/>
    </row>
    <row r="10" spans="1:12" ht="22.5" customHeight="1">
      <c r="A10" s="176" t="s">
        <v>136</v>
      </c>
      <c r="B10" s="163">
        <v>148699460.88</v>
      </c>
      <c r="C10" s="163">
        <v>88226288.989999995</v>
      </c>
      <c r="D10" s="163">
        <v>0</v>
      </c>
      <c r="E10" s="467">
        <f t="shared" si="0"/>
        <v>236925749.87</v>
      </c>
      <c r="F10" s="46">
        <f>+'ตารางที่ 2'!B11</f>
        <v>154247844.19</v>
      </c>
      <c r="G10" s="28">
        <f>+'ตารางที่ 2'!C11</f>
        <v>66640082.170000002</v>
      </c>
      <c r="H10" s="28">
        <f>+'ตารางที่ 2'!D11</f>
        <v>0</v>
      </c>
      <c r="I10" s="398">
        <f t="shared" si="1"/>
        <v>220887926.36000001</v>
      </c>
      <c r="J10" s="177">
        <f t="shared" si="2"/>
        <v>-6.7691348529232753E-2</v>
      </c>
      <c r="K10" s="99"/>
      <c r="L10" s="99"/>
    </row>
    <row r="11" spans="1:12" ht="47.25" customHeight="1">
      <c r="A11" s="497" t="s">
        <v>515</v>
      </c>
      <c r="B11" s="163">
        <f>SUM(B8:B10)</f>
        <v>164044194.60999998</v>
      </c>
      <c r="C11" s="163">
        <f t="shared" ref="C11:H11" si="3">SUM(C8:C10)</f>
        <v>90403577.339999989</v>
      </c>
      <c r="D11" s="163">
        <f t="shared" si="3"/>
        <v>0</v>
      </c>
      <c r="E11" s="467">
        <f t="shared" si="3"/>
        <v>254447771.94999999</v>
      </c>
      <c r="F11" s="43">
        <f t="shared" si="3"/>
        <v>170301965</v>
      </c>
      <c r="G11" s="303">
        <f t="shared" si="3"/>
        <v>72967110.480000004</v>
      </c>
      <c r="H11" s="303">
        <f t="shared" si="3"/>
        <v>0</v>
      </c>
      <c r="I11" s="398">
        <f t="shared" si="1"/>
        <v>243269075.48000002</v>
      </c>
      <c r="J11" s="177">
        <f t="shared" si="2"/>
        <v>-4.3933167047721794E-2</v>
      </c>
      <c r="K11" s="99"/>
      <c r="L11" s="99"/>
    </row>
    <row r="12" spans="1:12" ht="22.5" customHeight="1" thickBot="1">
      <c r="A12" s="176" t="s">
        <v>137</v>
      </c>
      <c r="B12" s="163">
        <v>195302795.24000001</v>
      </c>
      <c r="C12" s="163">
        <v>34521166.369999997</v>
      </c>
      <c r="D12" s="163">
        <v>0</v>
      </c>
      <c r="E12" s="467">
        <f t="shared" si="0"/>
        <v>229823961.61000001</v>
      </c>
      <c r="F12" s="46">
        <f>+'ตารางที่ 2'!B12</f>
        <v>212856929.66000003</v>
      </c>
      <c r="G12" s="519">
        <f>+'ตารางที่ 2'!C12</f>
        <v>33519877.390000001</v>
      </c>
      <c r="H12" s="28">
        <f>+'ตารางที่ 2'!D12</f>
        <v>0</v>
      </c>
      <c r="I12" s="398">
        <f t="shared" si="1"/>
        <v>246376807.05000001</v>
      </c>
      <c r="J12" s="177">
        <f t="shared" si="2"/>
        <v>7.2024019271277565E-2</v>
      </c>
      <c r="K12" s="99"/>
      <c r="L12" s="99"/>
    </row>
    <row r="13" spans="1:12" ht="22.5" customHeight="1" thickTop="1" thickBot="1">
      <c r="A13" s="176" t="s">
        <v>117</v>
      </c>
      <c r="B13" s="163">
        <v>291523200.02999997</v>
      </c>
      <c r="C13" s="163">
        <v>20790621.809999999</v>
      </c>
      <c r="D13" s="163">
        <v>0</v>
      </c>
      <c r="E13" s="467">
        <f t="shared" si="0"/>
        <v>312313821.83999997</v>
      </c>
      <c r="F13" s="46">
        <f>+'ตารางที่ 2'!B13</f>
        <v>345204053.27999997</v>
      </c>
      <c r="G13" s="521">
        <f>+'ตารางที่ 2'!C13</f>
        <v>10028222.08</v>
      </c>
      <c r="H13" s="28">
        <f>+'ตารางที่ 2'!D13</f>
        <v>0</v>
      </c>
      <c r="I13" s="398">
        <f t="shared" si="1"/>
        <v>355232275.35999995</v>
      </c>
      <c r="J13" s="177">
        <f t="shared" si="2"/>
        <v>0.1374209225424142</v>
      </c>
      <c r="K13" s="99"/>
      <c r="L13" s="99"/>
    </row>
    <row r="14" spans="1:12" ht="22.5" customHeight="1" thickTop="1" thickBot="1">
      <c r="A14" s="176" t="s">
        <v>118</v>
      </c>
      <c r="B14" s="163">
        <v>97813867.700000003</v>
      </c>
      <c r="C14" s="163">
        <v>29208619.25</v>
      </c>
      <c r="D14" s="163">
        <v>0</v>
      </c>
      <c r="E14" s="467">
        <f t="shared" si="0"/>
        <v>127022486.95</v>
      </c>
      <c r="F14" s="46">
        <f>+'ตารางที่ 2'!B14</f>
        <v>115778719.16</v>
      </c>
      <c r="G14" s="520">
        <f>+'ตารางที่ 2'!C14</f>
        <v>17131771.300000001</v>
      </c>
      <c r="H14" s="28">
        <f>+'ตารางที่ 2'!D14</f>
        <v>0</v>
      </c>
      <c r="I14" s="398">
        <f t="shared" si="1"/>
        <v>132910490.45999999</v>
      </c>
      <c r="J14" s="179">
        <f t="shared" si="2"/>
        <v>4.6354024798126427E-2</v>
      </c>
      <c r="K14" s="99"/>
      <c r="L14" s="99"/>
    </row>
    <row r="15" spans="1:12" s="178" customFormat="1" ht="22.5" customHeight="1" thickTop="1" thickBot="1">
      <c r="A15" s="180" t="s">
        <v>8</v>
      </c>
      <c r="B15" s="181">
        <f>+B7+B8+B9+B10+B12+B13+B14</f>
        <v>993020057.13000011</v>
      </c>
      <c r="C15" s="181">
        <f>+C7+C8+C9+C10+C12+C13+C14</f>
        <v>246352108.05000001</v>
      </c>
      <c r="D15" s="181">
        <f>+D7+D8+D9+D10+D12+D13+D14</f>
        <v>12469630.060000001</v>
      </c>
      <c r="E15" s="468">
        <f>+E7+E8+E9+E10+E12+E13+E14</f>
        <v>1251841795.24</v>
      </c>
      <c r="F15" s="466">
        <f>+F7+F11+F12+F13+F14</f>
        <v>1082028852.6100001</v>
      </c>
      <c r="G15" s="465">
        <f>+G7+G11+G12+G13+G14</f>
        <v>198452423.67000005</v>
      </c>
      <c r="H15" s="465">
        <f>+H7+H11+H12+H13+H14</f>
        <v>9963717.0500000007</v>
      </c>
      <c r="I15" s="464">
        <f>+I7+I11+I12+I13+I14</f>
        <v>1290444993.3299999</v>
      </c>
      <c r="J15" s="182">
        <f t="shared" si="2"/>
        <v>3.0837121940475717E-2</v>
      </c>
      <c r="K15" s="99"/>
      <c r="L15" s="99"/>
    </row>
    <row r="16" spans="1:12" s="183" customFormat="1" ht="32.25" customHeight="1" thickTop="1">
      <c r="A16" s="103" t="s">
        <v>416</v>
      </c>
      <c r="E16" s="162"/>
      <c r="F16" s="162"/>
    </row>
    <row r="17" spans="1:10" s="183" customFormat="1" ht="57.75" customHeight="1">
      <c r="A17" s="561" t="s">
        <v>506</v>
      </c>
      <c r="B17" s="561"/>
      <c r="C17" s="561"/>
      <c r="D17" s="561"/>
      <c r="E17" s="561"/>
      <c r="F17" s="561"/>
      <c r="G17" s="561"/>
      <c r="H17" s="561"/>
      <c r="I17" s="561"/>
      <c r="J17" s="561"/>
    </row>
    <row r="18" spans="1:10" s="183" customFormat="1" ht="27.75" customHeight="1">
      <c r="A18" s="561" t="s">
        <v>507</v>
      </c>
      <c r="B18" s="561"/>
      <c r="C18" s="561"/>
      <c r="D18" s="561"/>
      <c r="E18" s="561"/>
      <c r="F18" s="561"/>
      <c r="G18" s="561"/>
      <c r="H18" s="561"/>
      <c r="I18" s="561"/>
      <c r="J18" s="561"/>
    </row>
    <row r="19" spans="1:10" s="183" customFormat="1" ht="27.75" customHeight="1">
      <c r="A19" s="561" t="s">
        <v>509</v>
      </c>
      <c r="B19" s="561"/>
      <c r="C19" s="561"/>
      <c r="D19" s="561"/>
      <c r="E19" s="561"/>
      <c r="F19" s="561"/>
      <c r="G19" s="561"/>
      <c r="H19" s="561"/>
      <c r="I19" s="561"/>
      <c r="J19" s="561"/>
    </row>
    <row r="20" spans="1:10" s="183" customFormat="1" ht="27.75" customHeight="1">
      <c r="A20" s="561" t="s">
        <v>516</v>
      </c>
      <c r="B20" s="561"/>
      <c r="C20" s="561"/>
      <c r="D20" s="561"/>
      <c r="E20" s="561"/>
      <c r="F20" s="561"/>
      <c r="G20" s="561"/>
      <c r="H20" s="561"/>
      <c r="I20" s="561"/>
      <c r="J20" s="561"/>
    </row>
    <row r="21" spans="1:10" s="183" customFormat="1" ht="27.75" customHeight="1">
      <c r="A21" s="561"/>
      <c r="B21" s="563"/>
      <c r="C21" s="563"/>
      <c r="D21" s="563"/>
      <c r="E21" s="563"/>
      <c r="F21" s="563"/>
      <c r="G21" s="563"/>
      <c r="H21" s="563"/>
      <c r="I21" s="563"/>
      <c r="J21" s="563"/>
    </row>
    <row r="23" spans="1:10">
      <c r="F23" s="108"/>
    </row>
  </sheetData>
  <mergeCells count="11">
    <mergeCell ref="A20:J20"/>
    <mergeCell ref="A4:E4"/>
    <mergeCell ref="A21:J21"/>
    <mergeCell ref="A19:J19"/>
    <mergeCell ref="A1:J1"/>
    <mergeCell ref="F5:I5"/>
    <mergeCell ref="J5:J6"/>
    <mergeCell ref="A18:J18"/>
    <mergeCell ref="A17:J17"/>
    <mergeCell ref="B5:E5"/>
    <mergeCell ref="A5:A6"/>
  </mergeCells>
  <phoneticPr fontId="3" type="noConversion"/>
  <printOptions horizontalCentered="1" verticalCentered="1"/>
  <pageMargins left="0.23622047244094491" right="0.26" top="0.47244094488188981" bottom="0.39370078740157483" header="0.35433070866141736" footer="0.35433070866141736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DL45"/>
  <sheetViews>
    <sheetView topLeftCell="A28" zoomScale="60" zoomScaleNormal="60" workbookViewId="0">
      <selection activeCell="A39" sqref="A39"/>
    </sheetView>
  </sheetViews>
  <sheetFormatPr defaultRowHeight="21"/>
  <cols>
    <col min="1" max="1" width="62.28515625" style="36" customWidth="1"/>
    <col min="2" max="2" width="17.7109375" style="54" customWidth="1"/>
    <col min="3" max="3" width="18.28515625" style="54" customWidth="1"/>
    <col min="4" max="4" width="16.85546875" style="54" customWidth="1"/>
    <col min="5" max="5" width="17.7109375" style="54" customWidth="1"/>
    <col min="6" max="6" width="20" style="54" customWidth="1"/>
    <col min="7" max="7" width="16.7109375" style="54" customWidth="1"/>
    <col min="8" max="8" width="16.7109375" style="36" customWidth="1"/>
    <col min="9" max="9" width="17.7109375" style="54" customWidth="1"/>
    <col min="10" max="10" width="18.28515625" style="293" bestFit="1" customWidth="1"/>
    <col min="11" max="11" width="18.5703125" style="293" bestFit="1" customWidth="1"/>
    <col min="12" max="12" width="16.7109375" style="293" customWidth="1"/>
    <col min="13" max="13" width="19.28515625" style="293" customWidth="1"/>
    <col min="14" max="14" width="20.140625" style="293" bestFit="1" customWidth="1"/>
    <col min="15" max="15" width="12.28515625" style="495" bestFit="1" customWidth="1"/>
    <col min="16" max="16" width="20.28515625" style="481" customWidth="1"/>
    <col min="17" max="17" width="18" style="495" bestFit="1" customWidth="1"/>
    <col min="18" max="19" width="12.28515625" style="36" customWidth="1"/>
    <col min="20" max="20" width="14.5703125" style="36" customWidth="1"/>
    <col min="21" max="116" width="9.140625" style="194"/>
    <col min="117" max="16384" width="9.140625" style="36"/>
  </cols>
  <sheetData>
    <row r="1" spans="1:116" s="185" customFormat="1" ht="26.25">
      <c r="A1" s="575" t="s">
        <v>37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184"/>
      <c r="BB1" s="184"/>
      <c r="BC1" s="184"/>
      <c r="BD1" s="184"/>
      <c r="BE1" s="184"/>
      <c r="BF1" s="184"/>
      <c r="BG1" s="184"/>
      <c r="BH1" s="184"/>
      <c r="BI1" s="184"/>
      <c r="BJ1" s="184"/>
      <c r="BK1" s="184"/>
      <c r="BL1" s="184"/>
      <c r="BM1" s="184"/>
      <c r="BN1" s="184"/>
      <c r="BO1" s="184"/>
      <c r="BP1" s="184"/>
      <c r="BQ1" s="184"/>
      <c r="BR1" s="184"/>
      <c r="BS1" s="184"/>
      <c r="BT1" s="184"/>
      <c r="BU1" s="184"/>
      <c r="BV1" s="184"/>
      <c r="BW1" s="184"/>
      <c r="BX1" s="184"/>
      <c r="BY1" s="184"/>
      <c r="BZ1" s="184"/>
      <c r="CA1" s="184"/>
      <c r="CB1" s="184"/>
      <c r="CC1" s="184"/>
      <c r="CD1" s="184"/>
      <c r="CE1" s="184"/>
      <c r="CF1" s="184"/>
      <c r="CG1" s="184"/>
      <c r="CH1" s="184"/>
      <c r="CI1" s="184"/>
      <c r="CJ1" s="184"/>
      <c r="CK1" s="184"/>
      <c r="CL1" s="184"/>
      <c r="CM1" s="184"/>
      <c r="CN1" s="184"/>
      <c r="CO1" s="184"/>
      <c r="CP1" s="184"/>
      <c r="CQ1" s="184"/>
      <c r="CR1" s="184"/>
      <c r="CS1" s="184"/>
      <c r="CT1" s="184"/>
      <c r="CU1" s="184"/>
      <c r="CV1" s="184"/>
      <c r="CW1" s="184"/>
      <c r="CX1" s="184"/>
      <c r="CY1" s="184"/>
      <c r="CZ1" s="184"/>
      <c r="DA1" s="184"/>
      <c r="DB1" s="184"/>
      <c r="DC1" s="184"/>
      <c r="DD1" s="184"/>
      <c r="DE1" s="184"/>
      <c r="DF1" s="184"/>
      <c r="DG1" s="184"/>
      <c r="DH1" s="184"/>
      <c r="DI1" s="184"/>
      <c r="DJ1" s="184"/>
      <c r="DK1" s="184"/>
      <c r="DL1" s="184"/>
    </row>
    <row r="2" spans="1:116" s="185" customFormat="1" ht="26.25">
      <c r="A2" s="186" t="s">
        <v>39</v>
      </c>
      <c r="B2" s="187"/>
      <c r="C2" s="187"/>
      <c r="D2" s="187"/>
      <c r="E2" s="187"/>
      <c r="F2" s="187"/>
      <c r="G2" s="187"/>
      <c r="H2" s="188"/>
      <c r="I2" s="187"/>
      <c r="J2" s="289"/>
      <c r="K2" s="289"/>
      <c r="L2" s="289"/>
      <c r="M2" s="289"/>
      <c r="N2" s="289"/>
      <c r="O2" s="488"/>
      <c r="P2" s="186"/>
      <c r="Q2" s="488"/>
      <c r="R2" s="478"/>
      <c r="S2" s="478"/>
      <c r="T2" s="478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  <c r="BE2" s="184"/>
      <c r="BF2" s="184"/>
      <c r="BG2" s="184"/>
      <c r="BH2" s="184"/>
      <c r="BI2" s="184"/>
      <c r="BJ2" s="184"/>
      <c r="BK2" s="184"/>
      <c r="BL2" s="184"/>
      <c r="BM2" s="184"/>
      <c r="BN2" s="184"/>
      <c r="BO2" s="184"/>
      <c r="BP2" s="184"/>
      <c r="BQ2" s="184"/>
      <c r="BR2" s="184"/>
      <c r="BS2" s="184"/>
      <c r="BT2" s="184"/>
      <c r="BU2" s="184"/>
      <c r="BV2" s="184"/>
      <c r="BW2" s="184"/>
      <c r="BX2" s="184"/>
      <c r="BY2" s="184"/>
      <c r="BZ2" s="184"/>
      <c r="CA2" s="184"/>
      <c r="CB2" s="184"/>
      <c r="CC2" s="184"/>
      <c r="CD2" s="184"/>
      <c r="CE2" s="184"/>
      <c r="CF2" s="184"/>
      <c r="CG2" s="184"/>
      <c r="CH2" s="184"/>
      <c r="CI2" s="184"/>
      <c r="CJ2" s="184"/>
      <c r="CK2" s="184"/>
      <c r="CL2" s="184"/>
      <c r="CM2" s="184"/>
      <c r="CN2" s="184"/>
      <c r="CO2" s="184"/>
      <c r="CP2" s="184"/>
      <c r="CQ2" s="184"/>
      <c r="CR2" s="184"/>
      <c r="CS2" s="184"/>
      <c r="CT2" s="184"/>
      <c r="CU2" s="184"/>
      <c r="CV2" s="184"/>
      <c r="CW2" s="184"/>
      <c r="CX2" s="184"/>
      <c r="CY2" s="184"/>
      <c r="CZ2" s="184"/>
      <c r="DA2" s="184"/>
      <c r="DB2" s="184"/>
      <c r="DC2" s="184"/>
      <c r="DD2" s="184"/>
      <c r="DE2" s="184"/>
      <c r="DF2" s="184"/>
      <c r="DG2" s="184"/>
      <c r="DH2" s="184"/>
      <c r="DI2" s="184"/>
      <c r="DJ2" s="184"/>
      <c r="DK2" s="184"/>
      <c r="DL2" s="184"/>
    </row>
    <row r="3" spans="1:116" s="185" customFormat="1" ht="13.5" customHeight="1">
      <c r="A3" s="189"/>
      <c r="B3" s="190"/>
      <c r="C3" s="190"/>
      <c r="D3" s="190"/>
      <c r="E3" s="190"/>
      <c r="F3" s="190"/>
      <c r="G3" s="190"/>
      <c r="I3" s="190"/>
      <c r="J3" s="290"/>
      <c r="K3" s="290"/>
      <c r="L3" s="290"/>
      <c r="M3" s="290"/>
      <c r="N3" s="290"/>
      <c r="O3" s="489"/>
      <c r="P3" s="479"/>
      <c r="Q3" s="489"/>
      <c r="R3" s="478"/>
      <c r="S3" s="478"/>
      <c r="T3" s="478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  <c r="AU3" s="184"/>
      <c r="AV3" s="184"/>
      <c r="AW3" s="184"/>
      <c r="AX3" s="184"/>
      <c r="AY3" s="184"/>
      <c r="AZ3" s="184"/>
      <c r="BA3" s="184"/>
      <c r="BB3" s="184"/>
      <c r="BC3" s="184"/>
      <c r="BD3" s="184"/>
      <c r="BE3" s="184"/>
      <c r="BF3" s="184"/>
      <c r="BG3" s="184"/>
      <c r="BH3" s="184"/>
      <c r="BI3" s="184"/>
      <c r="BJ3" s="184"/>
      <c r="BK3" s="184"/>
      <c r="BL3" s="184"/>
      <c r="BM3" s="184"/>
      <c r="BN3" s="184"/>
      <c r="BO3" s="184"/>
      <c r="BP3" s="184"/>
      <c r="BQ3" s="184"/>
      <c r="BR3" s="184"/>
      <c r="BS3" s="184"/>
      <c r="BT3" s="184"/>
      <c r="BU3" s="184"/>
      <c r="BV3" s="184"/>
      <c r="BW3" s="184"/>
      <c r="BX3" s="184"/>
      <c r="BY3" s="184"/>
      <c r="BZ3" s="184"/>
      <c r="CA3" s="184"/>
      <c r="CB3" s="184"/>
      <c r="CC3" s="184"/>
      <c r="CD3" s="184"/>
      <c r="CE3" s="184"/>
      <c r="CF3" s="184"/>
      <c r="CG3" s="184"/>
      <c r="CH3" s="184"/>
      <c r="CI3" s="184"/>
      <c r="CJ3" s="184"/>
      <c r="CK3" s="184"/>
      <c r="CL3" s="184"/>
      <c r="CM3" s="184"/>
      <c r="CN3" s="184"/>
      <c r="CO3" s="184"/>
      <c r="CP3" s="184"/>
      <c r="CQ3" s="184"/>
      <c r="CR3" s="184"/>
      <c r="CS3" s="184"/>
      <c r="CT3" s="184"/>
      <c r="CU3" s="184"/>
      <c r="CV3" s="184"/>
      <c r="CW3" s="184"/>
      <c r="CX3" s="184"/>
      <c r="CY3" s="184"/>
      <c r="CZ3" s="184"/>
      <c r="DA3" s="184"/>
      <c r="DB3" s="184"/>
      <c r="DC3" s="184"/>
      <c r="DD3" s="184"/>
      <c r="DE3" s="184"/>
      <c r="DF3" s="184"/>
      <c r="DG3" s="184"/>
      <c r="DH3" s="184"/>
      <c r="DI3" s="184"/>
      <c r="DJ3" s="184"/>
      <c r="DK3" s="184"/>
      <c r="DL3" s="184"/>
    </row>
    <row r="4" spans="1:116" s="185" customFormat="1" ht="26.25">
      <c r="A4" s="583" t="s">
        <v>429</v>
      </c>
      <c r="B4" s="583"/>
      <c r="C4" s="583"/>
      <c r="D4" s="583"/>
      <c r="E4" s="191"/>
      <c r="F4" s="192"/>
      <c r="G4" s="192"/>
      <c r="H4" s="193"/>
      <c r="I4" s="192"/>
      <c r="J4" s="291"/>
      <c r="K4" s="291"/>
      <c r="L4" s="291"/>
      <c r="M4" s="291"/>
      <c r="N4" s="291"/>
      <c r="O4" s="490"/>
      <c r="P4" s="491"/>
      <c r="Q4" s="490"/>
      <c r="R4" s="478"/>
      <c r="S4" s="478"/>
      <c r="T4" s="478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  <c r="AW4" s="184"/>
      <c r="AX4" s="184"/>
      <c r="AY4" s="184"/>
      <c r="AZ4" s="184"/>
      <c r="BA4" s="184"/>
      <c r="BB4" s="184"/>
      <c r="BC4" s="184"/>
      <c r="BD4" s="184"/>
      <c r="BE4" s="184"/>
      <c r="BF4" s="184"/>
      <c r="BG4" s="184"/>
      <c r="BH4" s="184"/>
      <c r="BI4" s="184"/>
      <c r="BJ4" s="184"/>
      <c r="BK4" s="184"/>
      <c r="BL4" s="184"/>
      <c r="BM4" s="184"/>
      <c r="BN4" s="184"/>
      <c r="BO4" s="184"/>
      <c r="BP4" s="184"/>
      <c r="BQ4" s="184"/>
      <c r="BR4" s="184"/>
      <c r="BS4" s="184"/>
      <c r="BT4" s="184"/>
      <c r="BU4" s="184"/>
      <c r="BV4" s="184"/>
      <c r="BW4" s="184"/>
      <c r="BX4" s="184"/>
      <c r="BY4" s="184"/>
      <c r="BZ4" s="184"/>
      <c r="CA4" s="184"/>
      <c r="CB4" s="184"/>
      <c r="CC4" s="184"/>
      <c r="CD4" s="184"/>
      <c r="CE4" s="184"/>
      <c r="CF4" s="184"/>
      <c r="CG4" s="184"/>
      <c r="CH4" s="184"/>
      <c r="CI4" s="184"/>
      <c r="CJ4" s="184"/>
      <c r="CK4" s="184"/>
      <c r="CL4" s="184"/>
      <c r="CM4" s="184"/>
      <c r="CN4" s="184"/>
      <c r="CO4" s="184"/>
      <c r="CP4" s="184"/>
      <c r="CQ4" s="184"/>
      <c r="CR4" s="184"/>
      <c r="CS4" s="184"/>
      <c r="CT4" s="184"/>
      <c r="CU4" s="184"/>
      <c r="CV4" s="184"/>
      <c r="CW4" s="184"/>
      <c r="CX4" s="184"/>
      <c r="CY4" s="184"/>
      <c r="CZ4" s="184"/>
      <c r="DA4" s="184"/>
      <c r="DB4" s="184"/>
      <c r="DC4" s="184"/>
      <c r="DD4" s="184"/>
      <c r="DE4" s="184"/>
      <c r="DF4" s="184"/>
      <c r="DG4" s="184"/>
      <c r="DH4" s="184"/>
      <c r="DI4" s="184"/>
      <c r="DJ4" s="184"/>
      <c r="DK4" s="184"/>
      <c r="DL4" s="184"/>
    </row>
    <row r="5" spans="1:116" s="44" customFormat="1">
      <c r="A5" s="576" t="s">
        <v>9</v>
      </c>
      <c r="B5" s="579" t="s">
        <v>202</v>
      </c>
      <c r="C5" s="580"/>
      <c r="D5" s="580"/>
      <c r="E5" s="580"/>
      <c r="F5" s="580"/>
      <c r="G5" s="580"/>
      <c r="H5" s="580"/>
      <c r="I5" s="581"/>
      <c r="J5" s="579" t="s">
        <v>426</v>
      </c>
      <c r="K5" s="580"/>
      <c r="L5" s="580"/>
      <c r="M5" s="580"/>
      <c r="N5" s="580"/>
      <c r="O5" s="580"/>
      <c r="P5" s="580"/>
      <c r="Q5" s="581"/>
      <c r="R5" s="576" t="s">
        <v>33</v>
      </c>
      <c r="S5" s="576"/>
      <c r="T5" s="576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N5" s="194"/>
      <c r="BO5" s="194"/>
      <c r="BP5" s="194"/>
      <c r="BQ5" s="194"/>
      <c r="BR5" s="194"/>
      <c r="BS5" s="194"/>
      <c r="BT5" s="194"/>
      <c r="BU5" s="194"/>
      <c r="BV5" s="194"/>
      <c r="BW5" s="194"/>
      <c r="BX5" s="194"/>
      <c r="BY5" s="194"/>
      <c r="BZ5" s="194"/>
      <c r="CA5" s="194"/>
      <c r="CB5" s="194"/>
      <c r="CC5" s="194"/>
      <c r="CD5" s="194"/>
      <c r="CE5" s="194"/>
      <c r="CF5" s="194"/>
      <c r="CG5" s="194"/>
      <c r="CH5" s="194"/>
      <c r="CI5" s="194"/>
      <c r="CJ5" s="194"/>
      <c r="CK5" s="194"/>
      <c r="CL5" s="194"/>
      <c r="CM5" s="194"/>
      <c r="CN5" s="194"/>
      <c r="CO5" s="194"/>
      <c r="CP5" s="194"/>
      <c r="CQ5" s="194"/>
      <c r="CR5" s="194"/>
      <c r="CS5" s="194"/>
      <c r="CT5" s="194"/>
      <c r="CU5" s="194"/>
      <c r="CV5" s="194"/>
      <c r="CW5" s="194"/>
      <c r="CX5" s="194"/>
      <c r="CY5" s="194"/>
      <c r="CZ5" s="194"/>
      <c r="DA5" s="194"/>
      <c r="DB5" s="194"/>
      <c r="DC5" s="194"/>
      <c r="DD5" s="194"/>
      <c r="DE5" s="194"/>
      <c r="DF5" s="194"/>
      <c r="DG5" s="194"/>
      <c r="DH5" s="194"/>
      <c r="DI5" s="194"/>
      <c r="DJ5" s="194"/>
      <c r="DK5" s="194"/>
      <c r="DL5" s="194"/>
    </row>
    <row r="6" spans="1:116" s="89" customFormat="1" ht="42">
      <c r="A6" s="576"/>
      <c r="B6" s="195" t="s">
        <v>6</v>
      </c>
      <c r="C6" s="195" t="s">
        <v>7</v>
      </c>
      <c r="D6" s="195" t="s">
        <v>10</v>
      </c>
      <c r="E6" s="195" t="s">
        <v>11</v>
      </c>
      <c r="F6" s="195" t="s">
        <v>12</v>
      </c>
      <c r="G6" s="582" t="s">
        <v>13</v>
      </c>
      <c r="H6" s="582"/>
      <c r="I6" s="195" t="s">
        <v>14</v>
      </c>
      <c r="J6" s="195" t="s">
        <v>6</v>
      </c>
      <c r="K6" s="195" t="s">
        <v>7</v>
      </c>
      <c r="L6" s="195" t="s">
        <v>10</v>
      </c>
      <c r="M6" s="195" t="s">
        <v>11</v>
      </c>
      <c r="N6" s="195" t="s">
        <v>12</v>
      </c>
      <c r="O6" s="577" t="s">
        <v>13</v>
      </c>
      <c r="P6" s="578"/>
      <c r="Q6" s="483" t="s">
        <v>14</v>
      </c>
      <c r="R6" s="482" t="s">
        <v>32</v>
      </c>
      <c r="S6" s="482" t="s">
        <v>31</v>
      </c>
      <c r="T6" s="482" t="s">
        <v>30</v>
      </c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6"/>
      <c r="AP6" s="196"/>
      <c r="AQ6" s="196"/>
      <c r="AR6" s="196"/>
      <c r="AS6" s="196"/>
      <c r="AT6" s="196"/>
      <c r="AU6" s="196"/>
      <c r="AV6" s="196"/>
      <c r="AW6" s="196"/>
      <c r="AX6" s="196"/>
      <c r="AY6" s="196"/>
      <c r="AZ6" s="196"/>
      <c r="BA6" s="196"/>
      <c r="BB6" s="196"/>
      <c r="BC6" s="196"/>
      <c r="BD6" s="196"/>
      <c r="BE6" s="196"/>
      <c r="BF6" s="196"/>
      <c r="BG6" s="196"/>
      <c r="BH6" s="196"/>
      <c r="BI6" s="196"/>
      <c r="BJ6" s="196"/>
      <c r="BK6" s="196"/>
      <c r="BL6" s="196"/>
      <c r="BM6" s="196"/>
      <c r="BN6" s="196"/>
      <c r="BO6" s="196"/>
      <c r="BP6" s="196"/>
      <c r="BQ6" s="196"/>
      <c r="BR6" s="196"/>
      <c r="BS6" s="196"/>
      <c r="BT6" s="196"/>
      <c r="BU6" s="196"/>
      <c r="BV6" s="196"/>
      <c r="BW6" s="196"/>
      <c r="BX6" s="196"/>
      <c r="BY6" s="196"/>
      <c r="BZ6" s="196"/>
      <c r="CA6" s="196"/>
      <c r="CB6" s="196"/>
      <c r="CC6" s="196"/>
      <c r="CD6" s="196"/>
      <c r="CE6" s="196"/>
      <c r="CF6" s="196"/>
      <c r="CG6" s="196"/>
      <c r="CH6" s="196"/>
      <c r="CI6" s="196"/>
      <c r="CJ6" s="196"/>
      <c r="CK6" s="196"/>
      <c r="CL6" s="196"/>
      <c r="CM6" s="196"/>
      <c r="CN6" s="196"/>
      <c r="CO6" s="196"/>
      <c r="CP6" s="196"/>
      <c r="CQ6" s="196"/>
      <c r="CR6" s="196"/>
      <c r="CS6" s="196"/>
      <c r="CT6" s="196"/>
      <c r="CU6" s="196"/>
      <c r="CV6" s="196"/>
      <c r="CW6" s="196"/>
      <c r="CX6" s="196"/>
      <c r="CY6" s="196"/>
      <c r="CZ6" s="196"/>
      <c r="DA6" s="196"/>
      <c r="DB6" s="196"/>
      <c r="DC6" s="196"/>
      <c r="DD6" s="196"/>
      <c r="DE6" s="196"/>
      <c r="DF6" s="196"/>
      <c r="DG6" s="196"/>
      <c r="DH6" s="196"/>
      <c r="DI6" s="196"/>
      <c r="DJ6" s="196"/>
      <c r="DK6" s="196"/>
      <c r="DL6" s="196"/>
    </row>
    <row r="7" spans="1:116" s="44" customFormat="1">
      <c r="A7" s="102" t="s">
        <v>184</v>
      </c>
      <c r="B7" s="96">
        <v>55849381.530000001</v>
      </c>
      <c r="C7" s="96">
        <v>43744333.899999999</v>
      </c>
      <c r="D7" s="255">
        <v>124203.69</v>
      </c>
      <c r="E7" s="255">
        <v>21317756.449999999</v>
      </c>
      <c r="F7" s="2">
        <f>SUM(B7:E7)</f>
        <v>121035675.57000001</v>
      </c>
      <c r="G7" s="295">
        <v>5190.5600000000004</v>
      </c>
      <c r="H7" s="46" t="s">
        <v>41</v>
      </c>
      <c r="I7" s="96">
        <f>+F7/G7</f>
        <v>23318.423362797079</v>
      </c>
      <c r="J7" s="96">
        <f>+'ตารางที่ 3'!B5</f>
        <v>47033031.259999998</v>
      </c>
      <c r="K7" s="96">
        <f>+'ตารางที่ 3'!C5</f>
        <v>32847577.949999999</v>
      </c>
      <c r="L7" s="96">
        <f>+'ตารางที่ 3'!D5</f>
        <v>2926723.25</v>
      </c>
      <c r="M7" s="96">
        <f>+'ตารางที่ 3'!E5</f>
        <v>21937403.59</v>
      </c>
      <c r="N7" s="96">
        <f>+'ตารางที่ 3'!F5</f>
        <v>104744736.05</v>
      </c>
      <c r="O7" s="96">
        <f>+'ตารางที่ 3'!G5</f>
        <v>5262.57</v>
      </c>
      <c r="P7" s="492" t="str">
        <f>+'ตารางที่ 3'!H5</f>
        <v>FTES</v>
      </c>
      <c r="Q7" s="96">
        <f t="shared" ref="Q7:Q37" si="0">+N7/O7</f>
        <v>19903.723095369754</v>
      </c>
      <c r="R7" s="493">
        <f>(N7-F7)/F7</f>
        <v>-0.13459617954194239</v>
      </c>
      <c r="S7" s="493">
        <f>(O7-G7)/G7</f>
        <v>1.3873262229894136E-2</v>
      </c>
      <c r="T7" s="493">
        <f>(Q7-I7)/I7</f>
        <v>-0.14643787078997977</v>
      </c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4"/>
      <c r="BF7" s="194"/>
      <c r="BG7" s="194"/>
      <c r="BH7" s="194"/>
      <c r="BI7" s="194"/>
      <c r="BJ7" s="194"/>
      <c r="BK7" s="194"/>
      <c r="BL7" s="194"/>
      <c r="BM7" s="194"/>
      <c r="BN7" s="194"/>
      <c r="BO7" s="194"/>
      <c r="BP7" s="194"/>
      <c r="BQ7" s="194"/>
      <c r="BR7" s="194"/>
      <c r="BS7" s="194"/>
      <c r="BT7" s="194"/>
      <c r="BU7" s="194"/>
      <c r="BV7" s="194"/>
      <c r="BW7" s="194"/>
      <c r="BX7" s="194"/>
      <c r="BY7" s="194"/>
      <c r="BZ7" s="194"/>
      <c r="CA7" s="194"/>
      <c r="CB7" s="194"/>
      <c r="CC7" s="194"/>
      <c r="CD7" s="194"/>
      <c r="CE7" s="194"/>
      <c r="CF7" s="194"/>
      <c r="CG7" s="194"/>
      <c r="CH7" s="194"/>
      <c r="CI7" s="194"/>
      <c r="CJ7" s="194"/>
      <c r="CK7" s="194"/>
      <c r="CL7" s="194"/>
      <c r="CM7" s="194"/>
      <c r="CN7" s="194"/>
      <c r="CO7" s="194"/>
      <c r="CP7" s="194"/>
      <c r="CQ7" s="194"/>
      <c r="CR7" s="194"/>
      <c r="CS7" s="194"/>
      <c r="CT7" s="194"/>
      <c r="CU7" s="194"/>
      <c r="CV7" s="194"/>
      <c r="CW7" s="194"/>
      <c r="CX7" s="194"/>
      <c r="CY7" s="194"/>
      <c r="CZ7" s="194"/>
      <c r="DA7" s="194"/>
      <c r="DB7" s="194"/>
      <c r="DC7" s="194"/>
      <c r="DD7" s="194"/>
      <c r="DE7" s="194"/>
      <c r="DF7" s="194"/>
      <c r="DG7" s="194"/>
      <c r="DH7" s="194"/>
      <c r="DI7" s="194"/>
      <c r="DJ7" s="194"/>
      <c r="DK7" s="194"/>
      <c r="DL7" s="194"/>
    </row>
    <row r="8" spans="1:116" s="44" customFormat="1">
      <c r="A8" s="102" t="s">
        <v>185</v>
      </c>
      <c r="B8" s="96">
        <v>445030.35</v>
      </c>
      <c r="C8" s="96">
        <v>329380.76</v>
      </c>
      <c r="D8" s="96">
        <v>1269.18</v>
      </c>
      <c r="E8" s="96">
        <v>349683.5</v>
      </c>
      <c r="F8" s="195">
        <f t="shared" ref="F8:F38" si="1">SUM(B8:E8)</f>
        <v>1125363.79</v>
      </c>
      <c r="G8" s="197">
        <v>54.22</v>
      </c>
      <c r="H8" s="46" t="s">
        <v>41</v>
      </c>
      <c r="I8" s="96">
        <f t="shared" ref="I8:I37" si="2">+F8/G8</f>
        <v>20755.51069715972</v>
      </c>
      <c r="J8" s="96">
        <f>+'ตารางที่ 3'!B6</f>
        <v>185617.53</v>
      </c>
      <c r="K8" s="96">
        <f>+'ตารางที่ 3'!C6</f>
        <v>217246.21</v>
      </c>
      <c r="L8" s="96">
        <f>+'ตารางที่ 3'!D6</f>
        <v>32165.75</v>
      </c>
      <c r="M8" s="96">
        <f>+'ตารางที่ 3'!E6</f>
        <v>248033.05</v>
      </c>
      <c r="N8" s="96">
        <f>+'ตารางที่ 3'!F6</f>
        <v>683062.54</v>
      </c>
      <c r="O8" s="96">
        <f>+'ตารางที่ 3'!G6</f>
        <v>37.06</v>
      </c>
      <c r="P8" s="492" t="str">
        <f>+'ตารางที่ 3'!H6</f>
        <v>FTES</v>
      </c>
      <c r="Q8" s="96">
        <f t="shared" si="0"/>
        <v>18431.261198057204</v>
      </c>
      <c r="R8" s="493">
        <f t="shared" ref="R8:R23" si="3">(N8-F8)/F8</f>
        <v>-0.39302957313030301</v>
      </c>
      <c r="S8" s="493">
        <f t="shared" ref="S8:S19" si="4">(O8-G8)/G8</f>
        <v>-0.31648838067133894</v>
      </c>
      <c r="T8" s="493">
        <f t="shared" ref="T8:T37" si="5">(Q8-I8)/I8</f>
        <v>-0.11198228427212717</v>
      </c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4"/>
      <c r="AS8" s="194"/>
      <c r="AT8" s="194"/>
      <c r="AU8" s="194"/>
      <c r="AV8" s="194"/>
      <c r="AW8" s="194"/>
      <c r="AX8" s="194"/>
      <c r="AY8" s="194"/>
      <c r="AZ8" s="194"/>
      <c r="BA8" s="194"/>
      <c r="BB8" s="194"/>
      <c r="BC8" s="194"/>
      <c r="BD8" s="194"/>
      <c r="BE8" s="194"/>
      <c r="BF8" s="194"/>
      <c r="BG8" s="194"/>
      <c r="BH8" s="194"/>
      <c r="BI8" s="194"/>
      <c r="BJ8" s="194"/>
      <c r="BK8" s="194"/>
      <c r="BL8" s="194"/>
      <c r="BM8" s="194"/>
      <c r="BN8" s="194"/>
      <c r="BO8" s="194"/>
      <c r="BP8" s="194"/>
      <c r="BQ8" s="194"/>
      <c r="BR8" s="194"/>
      <c r="BS8" s="194"/>
      <c r="BT8" s="194"/>
      <c r="BU8" s="194"/>
      <c r="BV8" s="194"/>
      <c r="BW8" s="194"/>
      <c r="BX8" s="194"/>
      <c r="BY8" s="194"/>
      <c r="BZ8" s="194"/>
      <c r="CA8" s="194"/>
      <c r="CB8" s="194"/>
      <c r="CC8" s="194"/>
      <c r="CD8" s="194"/>
      <c r="CE8" s="194"/>
      <c r="CF8" s="194"/>
      <c r="CG8" s="194"/>
      <c r="CH8" s="194"/>
      <c r="CI8" s="194"/>
      <c r="CJ8" s="194"/>
      <c r="CK8" s="194"/>
      <c r="CL8" s="194"/>
      <c r="CM8" s="194"/>
      <c r="CN8" s="194"/>
      <c r="CO8" s="194"/>
      <c r="CP8" s="194"/>
      <c r="CQ8" s="194"/>
      <c r="CR8" s="194"/>
      <c r="CS8" s="194"/>
      <c r="CT8" s="194"/>
      <c r="CU8" s="194"/>
      <c r="CV8" s="194"/>
      <c r="CW8" s="194"/>
      <c r="CX8" s="194"/>
      <c r="CY8" s="194"/>
      <c r="CZ8" s="194"/>
      <c r="DA8" s="194"/>
      <c r="DB8" s="194"/>
      <c r="DC8" s="194"/>
      <c r="DD8" s="194"/>
      <c r="DE8" s="194"/>
      <c r="DF8" s="194"/>
      <c r="DG8" s="194"/>
      <c r="DH8" s="194"/>
      <c r="DI8" s="194"/>
      <c r="DJ8" s="194"/>
      <c r="DK8" s="194"/>
      <c r="DL8" s="194"/>
    </row>
    <row r="9" spans="1:116" s="44" customFormat="1">
      <c r="A9" s="102" t="s">
        <v>186</v>
      </c>
      <c r="B9" s="96">
        <v>38118447.130000003</v>
      </c>
      <c r="C9" s="96">
        <v>9171241.2300000004</v>
      </c>
      <c r="D9" s="96">
        <v>29820.82</v>
      </c>
      <c r="E9" s="96">
        <v>14890211.789999999</v>
      </c>
      <c r="F9" s="195">
        <f t="shared" si="1"/>
        <v>62209720.969999999</v>
      </c>
      <c r="G9" s="197">
        <v>1246.49</v>
      </c>
      <c r="H9" s="46" t="s">
        <v>41</v>
      </c>
      <c r="I9" s="96">
        <f t="shared" si="2"/>
        <v>49907.918210334617</v>
      </c>
      <c r="J9" s="96">
        <f>+'ตารางที่ 3'!B7</f>
        <v>19851113.350000001</v>
      </c>
      <c r="K9" s="96">
        <f>+'ตารางที่ 3'!C7</f>
        <v>11439512.35</v>
      </c>
      <c r="L9" s="96">
        <f>+'ตารางที่ 3'!D7</f>
        <v>1013921.96</v>
      </c>
      <c r="M9" s="96">
        <f>+'ตารางที่ 3'!E7</f>
        <v>11724445.52</v>
      </c>
      <c r="N9" s="96">
        <f>+'ตารางที่ 3'!F7</f>
        <v>44028993.180000007</v>
      </c>
      <c r="O9" s="96">
        <f>+'ตารางที่ 3'!G7</f>
        <v>1240.78</v>
      </c>
      <c r="P9" s="492" t="str">
        <f>+'ตารางที่ 3'!H7</f>
        <v>FTES</v>
      </c>
      <c r="Q9" s="96">
        <f>+N9/O9</f>
        <v>35484.93139799159</v>
      </c>
      <c r="R9" s="493">
        <f t="shared" si="3"/>
        <v>-0.29224898466860927</v>
      </c>
      <c r="S9" s="493">
        <f t="shared" si="4"/>
        <v>-4.5808630634822873E-3</v>
      </c>
      <c r="T9" s="493">
        <f t="shared" si="5"/>
        <v>-0.28899195417364465</v>
      </c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L9" s="194"/>
      <c r="AM9" s="194"/>
      <c r="AN9" s="194"/>
      <c r="AO9" s="194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4"/>
      <c r="BF9" s="194"/>
      <c r="BG9" s="194"/>
      <c r="BH9" s="194"/>
      <c r="BI9" s="194"/>
      <c r="BJ9" s="194"/>
      <c r="BK9" s="194"/>
      <c r="BL9" s="194"/>
      <c r="BM9" s="194"/>
      <c r="BN9" s="194"/>
      <c r="BO9" s="194"/>
      <c r="BP9" s="194"/>
      <c r="BQ9" s="194"/>
      <c r="BR9" s="194"/>
      <c r="BS9" s="194"/>
      <c r="BT9" s="194"/>
      <c r="BU9" s="194"/>
      <c r="BV9" s="194"/>
      <c r="BW9" s="194"/>
      <c r="BX9" s="194"/>
      <c r="BY9" s="194"/>
      <c r="BZ9" s="194"/>
      <c r="CA9" s="194"/>
      <c r="CB9" s="194"/>
      <c r="CC9" s="194"/>
      <c r="CD9" s="194"/>
      <c r="CE9" s="194"/>
      <c r="CF9" s="194"/>
      <c r="CG9" s="194"/>
      <c r="CH9" s="194"/>
      <c r="CI9" s="194"/>
      <c r="CJ9" s="194"/>
      <c r="CK9" s="194"/>
      <c r="CL9" s="194"/>
      <c r="CM9" s="194"/>
      <c r="CN9" s="194"/>
      <c r="CO9" s="194"/>
      <c r="CP9" s="194"/>
      <c r="CQ9" s="194"/>
      <c r="CR9" s="194"/>
      <c r="CS9" s="194"/>
      <c r="CT9" s="194"/>
      <c r="CU9" s="194"/>
      <c r="CV9" s="194"/>
      <c r="CW9" s="194"/>
      <c r="CX9" s="194"/>
      <c r="CY9" s="194"/>
      <c r="CZ9" s="194"/>
      <c r="DA9" s="194"/>
      <c r="DB9" s="194"/>
      <c r="DC9" s="194"/>
      <c r="DD9" s="194"/>
      <c r="DE9" s="194"/>
      <c r="DF9" s="194"/>
      <c r="DG9" s="194"/>
      <c r="DH9" s="194"/>
      <c r="DI9" s="194"/>
      <c r="DJ9" s="194"/>
      <c r="DK9" s="194"/>
      <c r="DL9" s="194"/>
    </row>
    <row r="10" spans="1:116" s="44" customFormat="1">
      <c r="A10" s="102" t="s">
        <v>119</v>
      </c>
      <c r="B10" s="96">
        <v>14725025.630000001</v>
      </c>
      <c r="C10" s="96">
        <v>2409183.94</v>
      </c>
      <c r="D10" s="96">
        <v>20349.04</v>
      </c>
      <c r="E10" s="96">
        <v>4958876.58</v>
      </c>
      <c r="F10" s="195">
        <f t="shared" si="1"/>
        <v>22113435.189999998</v>
      </c>
      <c r="G10" s="197">
        <v>361</v>
      </c>
      <c r="H10" s="46" t="s">
        <v>41</v>
      </c>
      <c r="I10" s="96">
        <f t="shared" si="2"/>
        <v>61256.053157894727</v>
      </c>
      <c r="J10" s="96">
        <f>+'ตารางที่ 3'!B8</f>
        <v>14819052.220000001</v>
      </c>
      <c r="K10" s="96">
        <f>+'ตารางที่ 3'!C8</f>
        <v>2427355.9900000002</v>
      </c>
      <c r="L10" s="96">
        <f>+'ตารางที่ 3'!D8</f>
        <v>317152.5</v>
      </c>
      <c r="M10" s="96">
        <f>+'ตารางที่ 3'!E8</f>
        <v>5739004.4500000002</v>
      </c>
      <c r="N10" s="96">
        <f>+'ตารางที่ 3'!F8</f>
        <v>23302565.16</v>
      </c>
      <c r="O10" s="96">
        <f>+'ตารางที่ 3'!G8</f>
        <v>425.25</v>
      </c>
      <c r="P10" s="492" t="str">
        <f>+'ตารางที่ 3'!H8</f>
        <v>FTES</v>
      </c>
      <c r="Q10" s="96">
        <f t="shared" si="0"/>
        <v>54797.33135802469</v>
      </c>
      <c r="R10" s="493">
        <f t="shared" si="3"/>
        <v>5.3774095240423959E-2</v>
      </c>
      <c r="S10" s="493">
        <f t="shared" si="4"/>
        <v>0.17797783933518005</v>
      </c>
      <c r="T10" s="493">
        <f t="shared" si="5"/>
        <v>-0.10543809904340255</v>
      </c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  <c r="AM10" s="194"/>
      <c r="AN10" s="194"/>
      <c r="AO10" s="194"/>
      <c r="AP10" s="194"/>
      <c r="AQ10" s="194"/>
      <c r="AR10" s="194"/>
      <c r="AS10" s="194"/>
      <c r="AT10" s="194"/>
      <c r="AU10" s="194"/>
      <c r="AV10" s="194"/>
      <c r="AW10" s="194"/>
      <c r="AX10" s="194"/>
      <c r="AY10" s="194"/>
      <c r="AZ10" s="194"/>
      <c r="BA10" s="194"/>
      <c r="BB10" s="194"/>
      <c r="BC10" s="194"/>
      <c r="BD10" s="194"/>
      <c r="BE10" s="194"/>
      <c r="BF10" s="194"/>
      <c r="BG10" s="194"/>
      <c r="BH10" s="194"/>
      <c r="BI10" s="194"/>
      <c r="BJ10" s="194"/>
      <c r="BK10" s="194"/>
      <c r="BL10" s="194"/>
      <c r="BM10" s="194"/>
      <c r="BN10" s="194"/>
      <c r="BO10" s="194"/>
      <c r="BP10" s="194"/>
      <c r="BQ10" s="194"/>
      <c r="BR10" s="194"/>
      <c r="BS10" s="194"/>
      <c r="BT10" s="194"/>
      <c r="BU10" s="194"/>
      <c r="BV10" s="194"/>
      <c r="BW10" s="194"/>
      <c r="BX10" s="194"/>
      <c r="BY10" s="194"/>
      <c r="BZ10" s="194"/>
      <c r="CA10" s="194"/>
      <c r="CB10" s="194"/>
      <c r="CC10" s="194"/>
      <c r="CD10" s="194"/>
      <c r="CE10" s="194"/>
      <c r="CF10" s="194"/>
      <c r="CG10" s="194"/>
      <c r="CH10" s="194"/>
      <c r="CI10" s="194"/>
      <c r="CJ10" s="194"/>
      <c r="CK10" s="194"/>
      <c r="CL10" s="194"/>
      <c r="CM10" s="194"/>
      <c r="CN10" s="194"/>
      <c r="CO10" s="194"/>
      <c r="CP10" s="194"/>
      <c r="CQ10" s="194"/>
      <c r="CR10" s="194"/>
      <c r="CS10" s="194"/>
      <c r="CT10" s="194"/>
      <c r="CU10" s="194"/>
      <c r="CV10" s="194"/>
      <c r="CW10" s="194"/>
      <c r="CX10" s="194"/>
      <c r="CY10" s="194"/>
      <c r="CZ10" s="194"/>
      <c r="DA10" s="194"/>
      <c r="DB10" s="194"/>
      <c r="DC10" s="194"/>
      <c r="DD10" s="194"/>
      <c r="DE10" s="194"/>
      <c r="DF10" s="194"/>
      <c r="DG10" s="194"/>
      <c r="DH10" s="194"/>
      <c r="DI10" s="194"/>
      <c r="DJ10" s="194"/>
      <c r="DK10" s="194"/>
      <c r="DL10" s="194"/>
    </row>
    <row r="11" spans="1:116" s="44" customFormat="1">
      <c r="A11" s="68" t="s">
        <v>120</v>
      </c>
      <c r="B11" s="96">
        <v>79675274.900000006</v>
      </c>
      <c r="C11" s="96">
        <v>27130417.59</v>
      </c>
      <c r="D11" s="96">
        <v>169662.65</v>
      </c>
      <c r="E11" s="96">
        <v>43128176.969999999</v>
      </c>
      <c r="F11" s="195">
        <f t="shared" si="1"/>
        <v>150103532.11000001</v>
      </c>
      <c r="G11" s="197">
        <v>2742.41</v>
      </c>
      <c r="H11" s="46" t="s">
        <v>41</v>
      </c>
      <c r="I11" s="96">
        <f t="shared" si="2"/>
        <v>54734.168891595356</v>
      </c>
      <c r="J11" s="96">
        <f>+'ตารางที่ 3'!B9</f>
        <v>73193980.370000005</v>
      </c>
      <c r="K11" s="96">
        <f>+'ตารางที่ 3'!C9</f>
        <v>23525463.690000001</v>
      </c>
      <c r="L11" s="96">
        <f>+'ตารางที่ 3'!D9</f>
        <v>2157121.6</v>
      </c>
      <c r="M11" s="96">
        <f>+'ตารางที่ 3'!E9</f>
        <v>44829917.189999998</v>
      </c>
      <c r="N11" s="96">
        <f>+'ตารางที่ 3'!F9</f>
        <v>143706482.84999999</v>
      </c>
      <c r="O11" s="96">
        <f>+'ตารางที่ 3'!G9</f>
        <v>2601.2600000000002</v>
      </c>
      <c r="P11" s="492" t="str">
        <f>+'ตารางที่ 3'!H9</f>
        <v>FTES</v>
      </c>
      <c r="Q11" s="96">
        <f t="shared" si="0"/>
        <v>55244.951619599728</v>
      </c>
      <c r="R11" s="493">
        <f t="shared" si="3"/>
        <v>-4.2617579813592169E-2</v>
      </c>
      <c r="S11" s="493">
        <f t="shared" si="4"/>
        <v>-5.1469328072753395E-2</v>
      </c>
      <c r="T11" s="493">
        <f t="shared" si="5"/>
        <v>9.3320632860254098E-3</v>
      </c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4"/>
      <c r="AJ11" s="194"/>
      <c r="AK11" s="194"/>
      <c r="AL11" s="194"/>
      <c r="AM11" s="194"/>
      <c r="AN11" s="194"/>
      <c r="AO11" s="194"/>
      <c r="AP11" s="194"/>
      <c r="AQ11" s="194"/>
      <c r="AR11" s="194"/>
      <c r="AS11" s="194"/>
      <c r="AT11" s="194"/>
      <c r="AU11" s="194"/>
      <c r="AV11" s="194"/>
      <c r="AW11" s="194"/>
      <c r="AX11" s="194"/>
      <c r="AY11" s="194"/>
      <c r="AZ11" s="194"/>
      <c r="BA11" s="194"/>
      <c r="BB11" s="194"/>
      <c r="BC11" s="194"/>
      <c r="BD11" s="194"/>
      <c r="BE11" s="194"/>
      <c r="BF11" s="194"/>
      <c r="BG11" s="194"/>
      <c r="BH11" s="194"/>
      <c r="BI11" s="194"/>
      <c r="BJ11" s="194"/>
      <c r="BK11" s="194"/>
      <c r="BL11" s="194"/>
      <c r="BM11" s="194"/>
      <c r="BN11" s="194"/>
      <c r="BO11" s="194"/>
      <c r="BP11" s="194"/>
      <c r="BQ11" s="194"/>
      <c r="BR11" s="194"/>
      <c r="BS11" s="194"/>
      <c r="BT11" s="194"/>
      <c r="BU11" s="194"/>
      <c r="BV11" s="194"/>
      <c r="BW11" s="194"/>
      <c r="BX11" s="194"/>
      <c r="BY11" s="194"/>
      <c r="BZ11" s="194"/>
      <c r="CA11" s="194"/>
      <c r="CB11" s="194"/>
      <c r="CC11" s="194"/>
      <c r="CD11" s="194"/>
      <c r="CE11" s="194"/>
      <c r="CF11" s="194"/>
      <c r="CG11" s="194"/>
      <c r="CH11" s="194"/>
      <c r="CI11" s="194"/>
      <c r="CJ11" s="194"/>
      <c r="CK11" s="194"/>
      <c r="CL11" s="194"/>
      <c r="CM11" s="194"/>
      <c r="CN11" s="194"/>
      <c r="CO11" s="194"/>
      <c r="CP11" s="194"/>
      <c r="CQ11" s="194"/>
      <c r="CR11" s="194"/>
      <c r="CS11" s="194"/>
      <c r="CT11" s="194"/>
      <c r="CU11" s="194"/>
      <c r="CV11" s="194"/>
      <c r="CW11" s="194"/>
      <c r="CX11" s="194"/>
      <c r="CY11" s="194"/>
      <c r="CZ11" s="194"/>
      <c r="DA11" s="194"/>
      <c r="DB11" s="194"/>
      <c r="DC11" s="194"/>
      <c r="DD11" s="194"/>
      <c r="DE11" s="194"/>
      <c r="DF11" s="194"/>
      <c r="DG11" s="194"/>
      <c r="DH11" s="194"/>
      <c r="DI11" s="194"/>
      <c r="DJ11" s="194"/>
      <c r="DK11" s="194"/>
      <c r="DL11" s="194"/>
    </row>
    <row r="12" spans="1:116" s="44" customFormat="1">
      <c r="A12" s="102" t="s">
        <v>121</v>
      </c>
      <c r="B12" s="96">
        <v>434339.01</v>
      </c>
      <c r="C12" s="96">
        <v>230320.07</v>
      </c>
      <c r="D12" s="96">
        <v>1378.47</v>
      </c>
      <c r="E12" s="96">
        <v>256116.05</v>
      </c>
      <c r="F12" s="195">
        <f t="shared" si="1"/>
        <v>922153.60000000009</v>
      </c>
      <c r="G12" s="197">
        <v>20.16</v>
      </c>
      <c r="H12" s="46" t="s">
        <v>41</v>
      </c>
      <c r="I12" s="96">
        <f t="shared" si="2"/>
        <v>45741.746031746035</v>
      </c>
      <c r="J12" s="96">
        <f>+'ตารางที่ 3'!B10</f>
        <v>293876.47999999998</v>
      </c>
      <c r="K12" s="96">
        <f>+'ตารางที่ 3'!C10</f>
        <v>170852.67</v>
      </c>
      <c r="L12" s="96">
        <f>+'ตารางที่ 3'!D10</f>
        <v>16152.63</v>
      </c>
      <c r="M12" s="96">
        <f>+'ตารางที่ 3'!E10</f>
        <v>210626.21</v>
      </c>
      <c r="N12" s="96">
        <f>+'ตารางที่ 3'!F10</f>
        <v>691507.99</v>
      </c>
      <c r="O12" s="96">
        <f>+'ตารางที่ 3'!G10</f>
        <v>18.38</v>
      </c>
      <c r="P12" s="492" t="str">
        <f>+'ตารางที่ 3'!H10</f>
        <v>FTES</v>
      </c>
      <c r="Q12" s="96">
        <f t="shared" si="0"/>
        <v>37622.850380848751</v>
      </c>
      <c r="R12" s="493">
        <f t="shared" si="3"/>
        <v>-0.25011626045812768</v>
      </c>
      <c r="S12" s="493">
        <f t="shared" si="4"/>
        <v>-8.8293650793650855E-2</v>
      </c>
      <c r="T12" s="493">
        <f t="shared" si="5"/>
        <v>-0.17749422256995931</v>
      </c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194"/>
      <c r="AH12" s="194"/>
      <c r="AI12" s="194"/>
      <c r="AJ12" s="194"/>
      <c r="AK12" s="194"/>
      <c r="AL12" s="194"/>
      <c r="AM12" s="194"/>
      <c r="AN12" s="194"/>
      <c r="AO12" s="194"/>
      <c r="AP12" s="194"/>
      <c r="AQ12" s="194"/>
      <c r="AR12" s="194"/>
      <c r="AS12" s="194"/>
      <c r="AT12" s="194"/>
      <c r="AU12" s="194"/>
      <c r="AV12" s="194"/>
      <c r="AW12" s="194"/>
      <c r="AX12" s="194"/>
      <c r="AY12" s="194"/>
      <c r="AZ12" s="194"/>
      <c r="BA12" s="194"/>
      <c r="BB12" s="194"/>
      <c r="BC12" s="194"/>
      <c r="BD12" s="194"/>
      <c r="BE12" s="194"/>
      <c r="BF12" s="194"/>
      <c r="BG12" s="194"/>
      <c r="BH12" s="194"/>
      <c r="BI12" s="194"/>
      <c r="BJ12" s="194"/>
      <c r="BK12" s="194"/>
      <c r="BL12" s="194"/>
      <c r="BM12" s="194"/>
      <c r="BN12" s="194"/>
      <c r="BO12" s="194"/>
      <c r="BP12" s="194"/>
      <c r="BQ12" s="194"/>
      <c r="BR12" s="194"/>
      <c r="BS12" s="194"/>
      <c r="BT12" s="194"/>
      <c r="BU12" s="194"/>
      <c r="BV12" s="194"/>
      <c r="BW12" s="194"/>
      <c r="BX12" s="194"/>
      <c r="BY12" s="194"/>
      <c r="BZ12" s="194"/>
      <c r="CA12" s="194"/>
      <c r="CB12" s="194"/>
      <c r="CC12" s="194"/>
      <c r="CD12" s="194"/>
      <c r="CE12" s="194"/>
      <c r="CF12" s="194"/>
      <c r="CG12" s="194"/>
      <c r="CH12" s="194"/>
      <c r="CI12" s="194"/>
      <c r="CJ12" s="194"/>
      <c r="CK12" s="194"/>
      <c r="CL12" s="194"/>
      <c r="CM12" s="194"/>
      <c r="CN12" s="194"/>
      <c r="CO12" s="194"/>
      <c r="CP12" s="194"/>
      <c r="CQ12" s="194"/>
      <c r="CR12" s="194"/>
      <c r="CS12" s="194"/>
      <c r="CT12" s="194"/>
      <c r="CU12" s="194"/>
      <c r="CV12" s="194"/>
      <c r="CW12" s="194"/>
      <c r="CX12" s="194"/>
      <c r="CY12" s="194"/>
      <c r="CZ12" s="194"/>
      <c r="DA12" s="194"/>
      <c r="DB12" s="194"/>
      <c r="DC12" s="194"/>
      <c r="DD12" s="194"/>
      <c r="DE12" s="194"/>
      <c r="DF12" s="194"/>
      <c r="DG12" s="194"/>
      <c r="DH12" s="194"/>
      <c r="DI12" s="194"/>
      <c r="DJ12" s="194"/>
      <c r="DK12" s="194"/>
      <c r="DL12" s="194"/>
    </row>
    <row r="13" spans="1:116" s="44" customFormat="1">
      <c r="A13" s="102" t="s">
        <v>122</v>
      </c>
      <c r="B13" s="96">
        <v>42837797.780000001</v>
      </c>
      <c r="C13" s="96">
        <v>9028170.8100000005</v>
      </c>
      <c r="D13" s="96">
        <v>59048.7</v>
      </c>
      <c r="E13" s="96">
        <v>14507471.720000001</v>
      </c>
      <c r="F13" s="195">
        <f t="shared" si="1"/>
        <v>66432489.010000005</v>
      </c>
      <c r="G13" s="197">
        <v>967.68</v>
      </c>
      <c r="H13" s="46" t="s">
        <v>41</v>
      </c>
      <c r="I13" s="96">
        <f t="shared" si="2"/>
        <v>68651.298993468925</v>
      </c>
      <c r="J13" s="96">
        <f>+'ตารางที่ 3'!B11</f>
        <v>29998354.539999999</v>
      </c>
      <c r="K13" s="96">
        <f>+'ตารางที่ 3'!C11</f>
        <v>7325689.71</v>
      </c>
      <c r="L13" s="96">
        <f>+'ตารางที่ 3'!D11</f>
        <v>743106.49</v>
      </c>
      <c r="M13" s="96">
        <f>+'ตารางที่ 3'!E11</f>
        <v>14176362.9</v>
      </c>
      <c r="N13" s="96">
        <f>+'ตารางที่ 3'!F11</f>
        <v>52243513.640000001</v>
      </c>
      <c r="O13" s="96">
        <f>+'ตารางที่ 3'!G11</f>
        <v>911.07</v>
      </c>
      <c r="P13" s="492" t="str">
        <f>+'ตารางที่ 3'!H11</f>
        <v>FTES</v>
      </c>
      <c r="Q13" s="96">
        <f t="shared" si="0"/>
        <v>57343.029229367661</v>
      </c>
      <c r="R13" s="493">
        <f t="shared" si="3"/>
        <v>-0.21358488265981054</v>
      </c>
      <c r="S13" s="493">
        <f t="shared" si="4"/>
        <v>-5.8500744047618944E-2</v>
      </c>
      <c r="T13" s="493">
        <f t="shared" si="5"/>
        <v>-0.16472040485609843</v>
      </c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  <c r="BC13" s="194"/>
      <c r="BD13" s="194"/>
      <c r="BE13" s="194"/>
      <c r="BF13" s="194"/>
      <c r="BG13" s="194"/>
      <c r="BH13" s="194"/>
      <c r="BI13" s="194"/>
      <c r="BJ13" s="194"/>
      <c r="BK13" s="194"/>
      <c r="BL13" s="194"/>
      <c r="BM13" s="194"/>
      <c r="BN13" s="194"/>
      <c r="BO13" s="194"/>
      <c r="BP13" s="194"/>
      <c r="BQ13" s="194"/>
      <c r="BR13" s="194"/>
      <c r="BS13" s="194"/>
      <c r="BT13" s="194"/>
      <c r="BU13" s="194"/>
      <c r="BV13" s="194"/>
      <c r="BW13" s="194"/>
      <c r="BX13" s="194"/>
      <c r="BY13" s="194"/>
      <c r="BZ13" s="194"/>
      <c r="CA13" s="194"/>
      <c r="CB13" s="194"/>
      <c r="CC13" s="194"/>
      <c r="CD13" s="194"/>
      <c r="CE13" s="194"/>
      <c r="CF13" s="194"/>
      <c r="CG13" s="194"/>
      <c r="CH13" s="194"/>
      <c r="CI13" s="194"/>
      <c r="CJ13" s="194"/>
      <c r="CK13" s="194"/>
      <c r="CL13" s="194"/>
      <c r="CM13" s="194"/>
      <c r="CN13" s="194"/>
      <c r="CO13" s="194"/>
      <c r="CP13" s="194"/>
      <c r="CQ13" s="194"/>
      <c r="CR13" s="194"/>
      <c r="CS13" s="194"/>
      <c r="CT13" s="194"/>
      <c r="CU13" s="194"/>
      <c r="CV13" s="194"/>
      <c r="CW13" s="194"/>
      <c r="CX13" s="194"/>
      <c r="CY13" s="194"/>
      <c r="CZ13" s="194"/>
      <c r="DA13" s="194"/>
      <c r="DB13" s="194"/>
      <c r="DC13" s="194"/>
      <c r="DD13" s="194"/>
      <c r="DE13" s="194"/>
      <c r="DF13" s="194"/>
      <c r="DG13" s="194"/>
      <c r="DH13" s="194"/>
      <c r="DI13" s="194"/>
      <c r="DJ13" s="194"/>
      <c r="DK13" s="194"/>
      <c r="DL13" s="194"/>
    </row>
    <row r="14" spans="1:116" s="44" customFormat="1">
      <c r="A14" s="102" t="s">
        <v>123</v>
      </c>
      <c r="B14" s="96">
        <v>784330.74</v>
      </c>
      <c r="C14" s="96">
        <v>126840</v>
      </c>
      <c r="D14" s="96">
        <v>896.34</v>
      </c>
      <c r="E14" s="96">
        <v>261028.59</v>
      </c>
      <c r="F14" s="195">
        <f t="shared" si="1"/>
        <v>1173095.67</v>
      </c>
      <c r="G14" s="197">
        <v>13.3</v>
      </c>
      <c r="H14" s="46" t="s">
        <v>41</v>
      </c>
      <c r="I14" s="96">
        <f t="shared" si="2"/>
        <v>88202.681954887201</v>
      </c>
      <c r="J14" s="96">
        <f>+'ตารางที่ 3'!B12</f>
        <v>433360.53</v>
      </c>
      <c r="K14" s="96">
        <f>+'ตารางที่ 3'!C12</f>
        <v>83857.16</v>
      </c>
      <c r="L14" s="96">
        <f>+'ตารางที่ 3'!D12</f>
        <v>8873.23</v>
      </c>
      <c r="M14" s="96">
        <f>+'ตารางที่ 3'!E12</f>
        <v>191921.73</v>
      </c>
      <c r="N14" s="96">
        <f>+'ตารางที่ 3'!F12</f>
        <v>718012.65</v>
      </c>
      <c r="O14" s="96">
        <f>+'ตารางที่ 3'!G12</f>
        <v>9.16</v>
      </c>
      <c r="P14" s="492" t="str">
        <f>+'ตารางที่ 3'!H12</f>
        <v>FTES</v>
      </c>
      <c r="Q14" s="96">
        <f t="shared" si="0"/>
        <v>78385.660480349339</v>
      </c>
      <c r="R14" s="493">
        <f t="shared" si="3"/>
        <v>-0.38793342404886716</v>
      </c>
      <c r="S14" s="493">
        <f t="shared" si="4"/>
        <v>-0.31127819548872182</v>
      </c>
      <c r="T14" s="493">
        <f t="shared" si="5"/>
        <v>-0.11130071395741627</v>
      </c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4"/>
      <c r="AJ14" s="194"/>
      <c r="AK14" s="194"/>
      <c r="AL14" s="194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4"/>
      <c r="AY14" s="194"/>
      <c r="AZ14" s="194"/>
      <c r="BA14" s="194"/>
      <c r="BB14" s="194"/>
      <c r="BC14" s="194"/>
      <c r="BD14" s="194"/>
      <c r="BE14" s="194"/>
      <c r="BF14" s="194"/>
      <c r="BG14" s="194"/>
      <c r="BH14" s="194"/>
      <c r="BI14" s="194"/>
      <c r="BJ14" s="194"/>
      <c r="BK14" s="194"/>
      <c r="BL14" s="194"/>
      <c r="BM14" s="194"/>
      <c r="BN14" s="194"/>
      <c r="BO14" s="194"/>
      <c r="BP14" s="194"/>
      <c r="BQ14" s="194"/>
      <c r="BR14" s="194"/>
      <c r="BS14" s="194"/>
      <c r="BT14" s="194"/>
      <c r="BU14" s="194"/>
      <c r="BV14" s="194"/>
      <c r="BW14" s="194"/>
      <c r="BX14" s="194"/>
      <c r="BY14" s="194"/>
      <c r="BZ14" s="194"/>
      <c r="CA14" s="194"/>
      <c r="CB14" s="194"/>
      <c r="CC14" s="194"/>
      <c r="CD14" s="194"/>
      <c r="CE14" s="194"/>
      <c r="CF14" s="194"/>
      <c r="CG14" s="194"/>
      <c r="CH14" s="194"/>
      <c r="CI14" s="194"/>
      <c r="CJ14" s="194"/>
      <c r="CK14" s="194"/>
      <c r="CL14" s="194"/>
      <c r="CM14" s="194"/>
      <c r="CN14" s="194"/>
      <c r="CO14" s="194"/>
      <c r="CP14" s="194"/>
      <c r="CQ14" s="194"/>
      <c r="CR14" s="194"/>
      <c r="CS14" s="194"/>
      <c r="CT14" s="194"/>
      <c r="CU14" s="194"/>
      <c r="CV14" s="194"/>
      <c r="CW14" s="194"/>
      <c r="CX14" s="194"/>
      <c r="CY14" s="194"/>
      <c r="CZ14" s="194"/>
      <c r="DA14" s="194"/>
      <c r="DB14" s="194"/>
      <c r="DC14" s="194"/>
      <c r="DD14" s="194"/>
      <c r="DE14" s="194"/>
      <c r="DF14" s="194"/>
      <c r="DG14" s="194"/>
      <c r="DH14" s="194"/>
      <c r="DI14" s="194"/>
      <c r="DJ14" s="194"/>
      <c r="DK14" s="194"/>
      <c r="DL14" s="194"/>
    </row>
    <row r="15" spans="1:116" s="44" customFormat="1">
      <c r="A15" s="102" t="s">
        <v>124</v>
      </c>
      <c r="B15" s="96">
        <v>77221113.390000001</v>
      </c>
      <c r="C15" s="96">
        <v>16516487.49</v>
      </c>
      <c r="D15" s="96">
        <v>101285.04</v>
      </c>
      <c r="E15" s="96">
        <v>18583452.620000001</v>
      </c>
      <c r="F15" s="195">
        <f t="shared" si="1"/>
        <v>112422338.54000001</v>
      </c>
      <c r="G15" s="197">
        <v>1669.72</v>
      </c>
      <c r="H15" s="46" t="s">
        <v>41</v>
      </c>
      <c r="I15" s="96">
        <f t="shared" si="2"/>
        <v>67330.054464221554</v>
      </c>
      <c r="J15" s="96">
        <f>+'ตารางที่ 3'!B13</f>
        <v>67855052.829999998</v>
      </c>
      <c r="K15" s="96">
        <f>+'ตารางที่ 3'!C13</f>
        <v>9742341.9299999997</v>
      </c>
      <c r="L15" s="96">
        <f>+'ตารางที่ 3'!D13</f>
        <v>1249978.74</v>
      </c>
      <c r="M15" s="96">
        <f>+'ตารางที่ 3'!E13</f>
        <v>19164827.780000001</v>
      </c>
      <c r="N15" s="96">
        <f>+'ตารางที่ 3'!F13</f>
        <v>98012201.279999986</v>
      </c>
      <c r="O15" s="96">
        <f>+'ตารางที่ 3'!G13</f>
        <v>1538.31</v>
      </c>
      <c r="P15" s="492" t="str">
        <f>+'ตารางที่ 3'!H13</f>
        <v>FTES</v>
      </c>
      <c r="Q15" s="96">
        <f t="shared" si="0"/>
        <v>63714.206681358104</v>
      </c>
      <c r="R15" s="493">
        <f t="shared" si="3"/>
        <v>-0.12817859374872259</v>
      </c>
      <c r="S15" s="493">
        <f t="shared" si="4"/>
        <v>-7.870181826893137E-2</v>
      </c>
      <c r="T15" s="493">
        <f t="shared" si="5"/>
        <v>-5.3703324787667761E-2</v>
      </c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194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4"/>
      <c r="AY15" s="194"/>
      <c r="AZ15" s="194"/>
      <c r="BA15" s="194"/>
      <c r="BB15" s="194"/>
      <c r="BC15" s="194"/>
      <c r="BD15" s="194"/>
      <c r="BE15" s="194"/>
      <c r="BF15" s="194"/>
      <c r="BG15" s="194"/>
      <c r="BH15" s="194"/>
      <c r="BI15" s="194"/>
      <c r="BJ15" s="194"/>
      <c r="BK15" s="194"/>
      <c r="BL15" s="194"/>
      <c r="BM15" s="194"/>
      <c r="BN15" s="194"/>
      <c r="BO15" s="194"/>
      <c r="BP15" s="194"/>
      <c r="BQ15" s="194"/>
      <c r="BR15" s="194"/>
      <c r="BS15" s="194"/>
      <c r="BT15" s="194"/>
      <c r="BU15" s="194"/>
      <c r="BV15" s="194"/>
      <c r="BW15" s="194"/>
      <c r="BX15" s="194"/>
      <c r="BY15" s="194"/>
      <c r="BZ15" s="194"/>
      <c r="CA15" s="194"/>
      <c r="CB15" s="194"/>
      <c r="CC15" s="194"/>
      <c r="CD15" s="194"/>
      <c r="CE15" s="194"/>
      <c r="CF15" s="194"/>
      <c r="CG15" s="194"/>
      <c r="CH15" s="194"/>
      <c r="CI15" s="194"/>
      <c r="CJ15" s="194"/>
      <c r="CK15" s="194"/>
      <c r="CL15" s="194"/>
      <c r="CM15" s="194"/>
      <c r="CN15" s="194"/>
      <c r="CO15" s="194"/>
      <c r="CP15" s="194"/>
      <c r="CQ15" s="194"/>
      <c r="CR15" s="194"/>
      <c r="CS15" s="194"/>
      <c r="CT15" s="194"/>
      <c r="CU15" s="194"/>
      <c r="CV15" s="194"/>
      <c r="CW15" s="194"/>
      <c r="CX15" s="194"/>
      <c r="CY15" s="194"/>
      <c r="CZ15" s="194"/>
      <c r="DA15" s="194"/>
      <c r="DB15" s="194"/>
      <c r="DC15" s="194"/>
      <c r="DD15" s="194"/>
      <c r="DE15" s="194"/>
      <c r="DF15" s="194"/>
      <c r="DG15" s="194"/>
      <c r="DH15" s="194"/>
      <c r="DI15" s="194"/>
      <c r="DJ15" s="194"/>
      <c r="DK15" s="194"/>
      <c r="DL15" s="194"/>
    </row>
    <row r="16" spans="1:116" s="44" customFormat="1">
      <c r="A16" s="102" t="s">
        <v>125</v>
      </c>
      <c r="B16" s="96">
        <v>601088.51</v>
      </c>
      <c r="C16" s="96">
        <v>107910.32</v>
      </c>
      <c r="D16" s="96">
        <v>869.05</v>
      </c>
      <c r="E16" s="96">
        <v>102048.76</v>
      </c>
      <c r="F16" s="195">
        <f t="shared" si="1"/>
        <v>811916.64000000013</v>
      </c>
      <c r="G16" s="197">
        <v>10.46</v>
      </c>
      <c r="H16" s="46" t="s">
        <v>41</v>
      </c>
      <c r="I16" s="96">
        <f t="shared" si="2"/>
        <v>77621.09369024857</v>
      </c>
      <c r="J16" s="96">
        <f>+'ตารางที่ 3'!B14</f>
        <v>374973.09</v>
      </c>
      <c r="K16" s="96">
        <f>+'ตารางที่ 3'!C14</f>
        <v>59042.97</v>
      </c>
      <c r="L16" s="96">
        <f>+'ตารางที่ 3'!D14</f>
        <v>8502.27</v>
      </c>
      <c r="M16" s="96">
        <f>+'ตารางที่ 3'!E14</f>
        <v>74176.2</v>
      </c>
      <c r="N16" s="96">
        <f>+'ตารางที่ 3'!F14</f>
        <v>516694.53000000009</v>
      </c>
      <c r="O16" s="96">
        <f>+'ตารางที่ 3'!G14</f>
        <v>4.5</v>
      </c>
      <c r="P16" s="492" t="str">
        <f>+'ตารางที่ 3'!H14</f>
        <v>FTES</v>
      </c>
      <c r="Q16" s="96">
        <f t="shared" si="0"/>
        <v>114821.00666666668</v>
      </c>
      <c r="R16" s="493">
        <f t="shared" si="3"/>
        <v>-0.36361135547117251</v>
      </c>
      <c r="S16" s="493">
        <f t="shared" si="4"/>
        <v>-0.5697896749521989</v>
      </c>
      <c r="T16" s="493">
        <f t="shared" si="5"/>
        <v>0.47925004928256359</v>
      </c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194"/>
      <c r="AH16" s="194"/>
      <c r="AI16" s="194"/>
      <c r="AJ16" s="194"/>
      <c r="AK16" s="194"/>
      <c r="AL16" s="194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4"/>
      <c r="AY16" s="194"/>
      <c r="AZ16" s="194"/>
      <c r="BA16" s="194"/>
      <c r="BB16" s="194"/>
      <c r="BC16" s="194"/>
      <c r="BD16" s="194"/>
      <c r="BE16" s="194"/>
      <c r="BF16" s="194"/>
      <c r="BG16" s="194"/>
      <c r="BH16" s="194"/>
      <c r="BI16" s="194"/>
      <c r="BJ16" s="194"/>
      <c r="BK16" s="194"/>
      <c r="BL16" s="194"/>
      <c r="BM16" s="194"/>
      <c r="BN16" s="194"/>
      <c r="BO16" s="194"/>
      <c r="BP16" s="194"/>
      <c r="BQ16" s="194"/>
      <c r="BR16" s="194"/>
      <c r="BS16" s="194"/>
      <c r="BT16" s="194"/>
      <c r="BU16" s="194"/>
      <c r="BV16" s="194"/>
      <c r="BW16" s="194"/>
      <c r="BX16" s="194"/>
      <c r="BY16" s="194"/>
      <c r="BZ16" s="194"/>
      <c r="CA16" s="194"/>
      <c r="CB16" s="194"/>
      <c r="CC16" s="194"/>
      <c r="CD16" s="194"/>
      <c r="CE16" s="194"/>
      <c r="CF16" s="194"/>
      <c r="CG16" s="194"/>
      <c r="CH16" s="194"/>
      <c r="CI16" s="194"/>
      <c r="CJ16" s="194"/>
      <c r="CK16" s="194"/>
      <c r="CL16" s="194"/>
      <c r="CM16" s="194"/>
      <c r="CN16" s="194"/>
      <c r="CO16" s="194"/>
      <c r="CP16" s="194"/>
      <c r="CQ16" s="194"/>
      <c r="CR16" s="194"/>
      <c r="CS16" s="194"/>
      <c r="CT16" s="194"/>
      <c r="CU16" s="194"/>
      <c r="CV16" s="194"/>
      <c r="CW16" s="194"/>
      <c r="CX16" s="194"/>
      <c r="CY16" s="194"/>
      <c r="CZ16" s="194"/>
      <c r="DA16" s="194"/>
      <c r="DB16" s="194"/>
      <c r="DC16" s="194"/>
      <c r="DD16" s="194"/>
      <c r="DE16" s="194"/>
      <c r="DF16" s="194"/>
      <c r="DG16" s="194"/>
      <c r="DH16" s="194"/>
      <c r="DI16" s="194"/>
      <c r="DJ16" s="194"/>
      <c r="DK16" s="194"/>
      <c r="DL16" s="194"/>
    </row>
    <row r="17" spans="1:116" s="44" customFormat="1">
      <c r="A17" s="102" t="s">
        <v>126</v>
      </c>
      <c r="B17" s="96">
        <v>22450491.940000001</v>
      </c>
      <c r="C17" s="96">
        <v>7058224.7699999996</v>
      </c>
      <c r="D17" s="96">
        <v>13309.78</v>
      </c>
      <c r="E17" s="96">
        <v>17494090.100000001</v>
      </c>
      <c r="F17" s="195">
        <f t="shared" si="1"/>
        <v>47016116.590000004</v>
      </c>
      <c r="G17" s="197">
        <v>217.81</v>
      </c>
      <c r="H17" s="46" t="s">
        <v>41</v>
      </c>
      <c r="I17" s="96">
        <f t="shared" si="2"/>
        <v>215858.39304898767</v>
      </c>
      <c r="J17" s="96">
        <f>+'ตารางที่ 3'!B15</f>
        <v>31940060.710000001</v>
      </c>
      <c r="K17" s="96">
        <f>+'ตารางที่ 3'!C15</f>
        <v>4815892.6500000004</v>
      </c>
      <c r="L17" s="96">
        <f>+'ตารางที่ 3'!D15</f>
        <v>185929.55</v>
      </c>
      <c r="M17" s="96">
        <f>+'ตารางที่ 3'!E15</f>
        <v>18926786.809999999</v>
      </c>
      <c r="N17" s="96">
        <f>+'ตารางที่ 3'!F15</f>
        <v>55868669.719999999</v>
      </c>
      <c r="O17" s="96">
        <f>+'ตารางที่ 3'!G15</f>
        <v>227.53</v>
      </c>
      <c r="P17" s="492" t="str">
        <f>+'ตารางที่ 3'!H15</f>
        <v>FTES</v>
      </c>
      <c r="Q17" s="96">
        <f t="shared" si="0"/>
        <v>245544.1907440777</v>
      </c>
      <c r="R17" s="493">
        <f t="shared" si="3"/>
        <v>0.18828762926546916</v>
      </c>
      <c r="S17" s="493">
        <f t="shared" si="4"/>
        <v>4.4626050227262286E-2</v>
      </c>
      <c r="T17" s="493">
        <f t="shared" si="5"/>
        <v>0.13752440790362519</v>
      </c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  <c r="AH17" s="194"/>
      <c r="AI17" s="194"/>
      <c r="AJ17" s="194"/>
      <c r="AK17" s="194"/>
      <c r="AL17" s="194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4"/>
      <c r="AY17" s="194"/>
      <c r="AZ17" s="194"/>
      <c r="BA17" s="194"/>
      <c r="BB17" s="194"/>
      <c r="BC17" s="194"/>
      <c r="BD17" s="194"/>
      <c r="BE17" s="194"/>
      <c r="BF17" s="194"/>
      <c r="BG17" s="194"/>
      <c r="BH17" s="194"/>
      <c r="BI17" s="194"/>
      <c r="BJ17" s="194"/>
      <c r="BK17" s="194"/>
      <c r="BL17" s="194"/>
      <c r="BM17" s="194"/>
      <c r="BN17" s="194"/>
      <c r="BO17" s="194"/>
      <c r="BP17" s="194"/>
      <c r="BQ17" s="194"/>
      <c r="BR17" s="194"/>
      <c r="BS17" s="194"/>
      <c r="BT17" s="194"/>
      <c r="BU17" s="194"/>
      <c r="BV17" s="194"/>
      <c r="BW17" s="194"/>
      <c r="BX17" s="194"/>
      <c r="BY17" s="194"/>
      <c r="BZ17" s="194"/>
      <c r="CA17" s="194"/>
      <c r="CB17" s="194"/>
      <c r="CC17" s="194"/>
      <c r="CD17" s="194"/>
      <c r="CE17" s="194"/>
      <c r="CF17" s="194"/>
      <c r="CG17" s="194"/>
      <c r="CH17" s="194"/>
      <c r="CI17" s="194"/>
      <c r="CJ17" s="194"/>
      <c r="CK17" s="194"/>
      <c r="CL17" s="194"/>
      <c r="CM17" s="194"/>
      <c r="CN17" s="194"/>
      <c r="CO17" s="194"/>
      <c r="CP17" s="194"/>
      <c r="CQ17" s="194"/>
      <c r="CR17" s="194"/>
      <c r="CS17" s="194"/>
      <c r="CT17" s="194"/>
      <c r="CU17" s="194"/>
      <c r="CV17" s="194"/>
      <c r="CW17" s="194"/>
      <c r="CX17" s="194"/>
      <c r="CY17" s="194"/>
      <c r="CZ17" s="194"/>
      <c r="DA17" s="194"/>
      <c r="DB17" s="194"/>
      <c r="DC17" s="194"/>
      <c r="DD17" s="194"/>
      <c r="DE17" s="194"/>
      <c r="DF17" s="194"/>
      <c r="DG17" s="194"/>
      <c r="DH17" s="194"/>
      <c r="DI17" s="194"/>
      <c r="DJ17" s="194"/>
      <c r="DK17" s="194"/>
      <c r="DL17" s="194"/>
    </row>
    <row r="18" spans="1:116" s="44" customFormat="1">
      <c r="A18" s="102" t="s">
        <v>127</v>
      </c>
      <c r="B18" s="96">
        <v>20277545.239999998</v>
      </c>
      <c r="C18" s="96">
        <v>5982185.1500000004</v>
      </c>
      <c r="D18" s="96">
        <v>54418.5</v>
      </c>
      <c r="E18" s="96">
        <v>8647328.5999999996</v>
      </c>
      <c r="F18" s="195">
        <f t="shared" si="1"/>
        <v>34961477.490000002</v>
      </c>
      <c r="G18" s="197">
        <v>890.54</v>
      </c>
      <c r="H18" s="46" t="s">
        <v>41</v>
      </c>
      <c r="I18" s="96">
        <f t="shared" si="2"/>
        <v>39258.739068430397</v>
      </c>
      <c r="J18" s="96">
        <f>+'ตารางที่ 3'!B16</f>
        <v>19068494.390000001</v>
      </c>
      <c r="K18" s="96">
        <f>+'ตารางที่ 3'!C16</f>
        <v>6376799.6200000001</v>
      </c>
      <c r="L18" s="96">
        <f>+'ตารางที่ 3'!D16</f>
        <v>756964.43</v>
      </c>
      <c r="M18" s="96">
        <f>+'ตารางที่ 3'!E16</f>
        <v>9884429.9199999999</v>
      </c>
      <c r="N18" s="96">
        <f>+'ตารางที่ 3'!F16</f>
        <v>36086688.359999999</v>
      </c>
      <c r="O18" s="96">
        <f>+'ตารางที่ 3'!G16</f>
        <v>926.33</v>
      </c>
      <c r="P18" s="492" t="str">
        <f>+'ตารางที่ 3'!H16</f>
        <v>FTES</v>
      </c>
      <c r="Q18" s="96">
        <f t="shared" si="0"/>
        <v>38956.622758628131</v>
      </c>
      <c r="R18" s="493">
        <f t="shared" si="3"/>
        <v>3.2184305435084666E-2</v>
      </c>
      <c r="S18" s="493">
        <f t="shared" si="4"/>
        <v>4.0189098749073685E-2</v>
      </c>
      <c r="T18" s="493">
        <f t="shared" si="5"/>
        <v>-7.6955174050714892E-3</v>
      </c>
      <c r="U18" s="19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194"/>
      <c r="AH18" s="194"/>
      <c r="AI18" s="194"/>
      <c r="AJ18" s="194"/>
      <c r="AK18" s="194"/>
      <c r="AL18" s="194"/>
      <c r="AM18" s="194"/>
      <c r="AN18" s="194"/>
      <c r="AO18" s="194"/>
      <c r="AP18" s="194"/>
      <c r="AQ18" s="194"/>
      <c r="AR18" s="194"/>
      <c r="AS18" s="194"/>
      <c r="AT18" s="194"/>
      <c r="AU18" s="194"/>
      <c r="AV18" s="194"/>
      <c r="AW18" s="194"/>
      <c r="AX18" s="194"/>
      <c r="AY18" s="194"/>
      <c r="AZ18" s="194"/>
      <c r="BA18" s="194"/>
      <c r="BB18" s="194"/>
      <c r="BC18" s="194"/>
      <c r="BD18" s="194"/>
      <c r="BE18" s="194"/>
      <c r="BF18" s="194"/>
      <c r="BG18" s="194"/>
      <c r="BH18" s="194"/>
      <c r="BI18" s="194"/>
      <c r="BJ18" s="194"/>
      <c r="BK18" s="194"/>
      <c r="BL18" s="194"/>
      <c r="BM18" s="194"/>
      <c r="BN18" s="194"/>
      <c r="BO18" s="194"/>
      <c r="BP18" s="194"/>
      <c r="BQ18" s="194"/>
      <c r="BR18" s="194"/>
      <c r="BS18" s="194"/>
      <c r="BT18" s="194"/>
      <c r="BU18" s="194"/>
      <c r="BV18" s="194"/>
      <c r="BW18" s="194"/>
      <c r="BX18" s="194"/>
      <c r="BY18" s="194"/>
      <c r="BZ18" s="194"/>
      <c r="CA18" s="194"/>
      <c r="CB18" s="194"/>
      <c r="CC18" s="194"/>
      <c r="CD18" s="194"/>
      <c r="CE18" s="194"/>
      <c r="CF18" s="194"/>
      <c r="CG18" s="194"/>
      <c r="CH18" s="194"/>
      <c r="CI18" s="194"/>
      <c r="CJ18" s="194"/>
      <c r="CK18" s="194"/>
      <c r="CL18" s="194"/>
      <c r="CM18" s="194"/>
      <c r="CN18" s="194"/>
      <c r="CO18" s="194"/>
      <c r="CP18" s="194"/>
      <c r="CQ18" s="194"/>
      <c r="CR18" s="194"/>
      <c r="CS18" s="194"/>
      <c r="CT18" s="194"/>
      <c r="CU18" s="194"/>
      <c r="CV18" s="194"/>
      <c r="CW18" s="194"/>
      <c r="CX18" s="194"/>
      <c r="CY18" s="194"/>
      <c r="CZ18" s="194"/>
      <c r="DA18" s="194"/>
      <c r="DB18" s="194"/>
      <c r="DC18" s="194"/>
      <c r="DD18" s="194"/>
      <c r="DE18" s="194"/>
      <c r="DF18" s="194"/>
      <c r="DG18" s="194"/>
      <c r="DH18" s="194"/>
      <c r="DI18" s="194"/>
      <c r="DJ18" s="194"/>
      <c r="DK18" s="194"/>
      <c r="DL18" s="194"/>
    </row>
    <row r="19" spans="1:116" s="44" customFormat="1">
      <c r="A19" s="102" t="s">
        <v>128</v>
      </c>
      <c r="B19" s="96">
        <v>19392816.260000002</v>
      </c>
      <c r="C19" s="96">
        <v>5927143.6200000001</v>
      </c>
      <c r="D19" s="96">
        <v>42556.959999999999</v>
      </c>
      <c r="E19" s="96">
        <v>6324490.4000000004</v>
      </c>
      <c r="F19" s="195">
        <f t="shared" si="1"/>
        <v>31687007.240000002</v>
      </c>
      <c r="G19" s="197">
        <v>696.43</v>
      </c>
      <c r="H19" s="46" t="s">
        <v>41</v>
      </c>
      <c r="I19" s="96">
        <f t="shared" si="2"/>
        <v>45499.199115488998</v>
      </c>
      <c r="J19" s="96">
        <f>+'ตารางที่ 3'!B17</f>
        <v>12664026.529999999</v>
      </c>
      <c r="K19" s="96">
        <f>+'ตารางที่ 3'!C17</f>
        <v>5385290.2699999996</v>
      </c>
      <c r="L19" s="96">
        <f>+'ตารางที่ 3'!D17</f>
        <v>547124.65</v>
      </c>
      <c r="M19" s="96">
        <f>+'ตารางที่ 3'!E17</f>
        <v>5592038.6799999997</v>
      </c>
      <c r="N19" s="96">
        <f>+'ตารางที่ 3'!F17</f>
        <v>24188480.129999995</v>
      </c>
      <c r="O19" s="96">
        <f>+'ตารางที่ 3'!G17</f>
        <v>669.54</v>
      </c>
      <c r="P19" s="492" t="str">
        <f>+'ตารางที่ 3'!H17</f>
        <v>FTES</v>
      </c>
      <c r="Q19" s="96">
        <f t="shared" si="0"/>
        <v>36127.01276996146</v>
      </c>
      <c r="R19" s="493">
        <f t="shared" si="3"/>
        <v>-0.23664358874934274</v>
      </c>
      <c r="S19" s="493">
        <f t="shared" si="4"/>
        <v>-3.8611202848814655E-2</v>
      </c>
      <c r="T19" s="493">
        <f t="shared" si="5"/>
        <v>-0.20598574321579707</v>
      </c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194"/>
      <c r="AH19" s="194"/>
      <c r="AI19" s="194"/>
      <c r="AJ19" s="194"/>
      <c r="AK19" s="194"/>
      <c r="AL19" s="194"/>
      <c r="AM19" s="194"/>
      <c r="AN19" s="194"/>
      <c r="AO19" s="194"/>
      <c r="AP19" s="194"/>
      <c r="AQ19" s="194"/>
      <c r="AR19" s="194"/>
      <c r="AS19" s="194"/>
      <c r="AT19" s="194"/>
      <c r="AU19" s="194"/>
      <c r="AV19" s="194"/>
      <c r="AW19" s="194"/>
      <c r="AX19" s="194"/>
      <c r="AY19" s="194"/>
      <c r="AZ19" s="194"/>
      <c r="BA19" s="194"/>
      <c r="BB19" s="194"/>
      <c r="BC19" s="194"/>
      <c r="BD19" s="194"/>
      <c r="BE19" s="194"/>
      <c r="BF19" s="194"/>
      <c r="BG19" s="194"/>
      <c r="BH19" s="194"/>
      <c r="BI19" s="194"/>
      <c r="BJ19" s="194"/>
      <c r="BK19" s="194"/>
      <c r="BL19" s="194"/>
      <c r="BM19" s="194"/>
      <c r="BN19" s="194"/>
      <c r="BO19" s="194"/>
      <c r="BP19" s="194"/>
      <c r="BQ19" s="194"/>
      <c r="BR19" s="194"/>
      <c r="BS19" s="194"/>
      <c r="BT19" s="194"/>
      <c r="BU19" s="194"/>
      <c r="BV19" s="194"/>
      <c r="BW19" s="194"/>
      <c r="BX19" s="194"/>
      <c r="BY19" s="194"/>
      <c r="BZ19" s="194"/>
      <c r="CA19" s="194"/>
      <c r="CB19" s="194"/>
      <c r="CC19" s="194"/>
      <c r="CD19" s="194"/>
      <c r="CE19" s="194"/>
      <c r="CF19" s="194"/>
      <c r="CG19" s="194"/>
      <c r="CH19" s="194"/>
      <c r="CI19" s="194"/>
      <c r="CJ19" s="194"/>
      <c r="CK19" s="194"/>
      <c r="CL19" s="194"/>
      <c r="CM19" s="194"/>
      <c r="CN19" s="194"/>
      <c r="CO19" s="194"/>
      <c r="CP19" s="194"/>
      <c r="CQ19" s="194"/>
      <c r="CR19" s="194"/>
      <c r="CS19" s="194"/>
      <c r="CT19" s="194"/>
      <c r="CU19" s="194"/>
      <c r="CV19" s="194"/>
      <c r="CW19" s="194"/>
      <c r="CX19" s="194"/>
      <c r="CY19" s="194"/>
      <c r="CZ19" s="194"/>
      <c r="DA19" s="194"/>
      <c r="DB19" s="194"/>
      <c r="DC19" s="194"/>
      <c r="DD19" s="194"/>
      <c r="DE19" s="194"/>
      <c r="DF19" s="194"/>
      <c r="DG19" s="194"/>
      <c r="DH19" s="194"/>
      <c r="DI19" s="194"/>
      <c r="DJ19" s="194"/>
      <c r="DK19" s="194"/>
      <c r="DL19" s="194"/>
    </row>
    <row r="20" spans="1:116" s="44" customFormat="1">
      <c r="A20" s="68" t="s">
        <v>129</v>
      </c>
      <c r="B20" s="96">
        <v>3548281.43</v>
      </c>
      <c r="C20" s="96">
        <v>210476.38</v>
      </c>
      <c r="D20" s="96">
        <v>0</v>
      </c>
      <c r="E20" s="96">
        <v>970716.65</v>
      </c>
      <c r="F20" s="195">
        <f t="shared" si="1"/>
        <v>4729474.46</v>
      </c>
      <c r="G20" s="197">
        <v>121</v>
      </c>
      <c r="H20" s="56" t="s">
        <v>22</v>
      </c>
      <c r="I20" s="96">
        <f t="shared" si="2"/>
        <v>39086.565785123967</v>
      </c>
      <c r="J20" s="96">
        <f>+'ตารางที่ 3'!B18</f>
        <v>3515134.76</v>
      </c>
      <c r="K20" s="96">
        <f>+'ตารางที่ 3'!C18</f>
        <v>1260015.2</v>
      </c>
      <c r="L20" s="96">
        <f>+'ตารางที่ 3'!D18</f>
        <v>0</v>
      </c>
      <c r="M20" s="96">
        <f>+'ตารางที่ 3'!E18</f>
        <v>1502395.17</v>
      </c>
      <c r="N20" s="96">
        <f>+'ตารางที่ 3'!F18</f>
        <v>6277545.1299999999</v>
      </c>
      <c r="O20" s="96">
        <f>+'ตารางที่ 3'!G18</f>
        <v>148</v>
      </c>
      <c r="P20" s="492" t="s">
        <v>22</v>
      </c>
      <c r="Q20" s="96">
        <f t="shared" si="0"/>
        <v>42415.845472972971</v>
      </c>
      <c r="R20" s="493">
        <f t="shared" si="3"/>
        <v>0.32732403633700985</v>
      </c>
      <c r="S20" s="493">
        <f t="shared" ref="S20:S26" si="6">(O20-G20)/G20</f>
        <v>0.2231404958677686</v>
      </c>
      <c r="T20" s="493">
        <f t="shared" si="5"/>
        <v>8.5177083762014758E-2</v>
      </c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4"/>
      <c r="BA20" s="194"/>
      <c r="BB20" s="194"/>
      <c r="BC20" s="194"/>
      <c r="BD20" s="194"/>
      <c r="BE20" s="194"/>
      <c r="BF20" s="194"/>
      <c r="BG20" s="194"/>
      <c r="BH20" s="194"/>
      <c r="BI20" s="194"/>
      <c r="BJ20" s="194"/>
      <c r="BK20" s="194"/>
      <c r="BL20" s="194"/>
      <c r="BM20" s="194"/>
      <c r="BN20" s="194"/>
      <c r="BO20" s="194"/>
      <c r="BP20" s="194"/>
      <c r="BQ20" s="194"/>
      <c r="BR20" s="194"/>
      <c r="BS20" s="194"/>
      <c r="BT20" s="194"/>
      <c r="BU20" s="194"/>
      <c r="BV20" s="194"/>
      <c r="BW20" s="194"/>
      <c r="BX20" s="194"/>
      <c r="BY20" s="194"/>
      <c r="BZ20" s="194"/>
      <c r="CA20" s="194"/>
      <c r="CB20" s="194"/>
      <c r="CC20" s="194"/>
      <c r="CD20" s="194"/>
      <c r="CE20" s="194"/>
      <c r="CF20" s="194"/>
      <c r="CG20" s="194"/>
      <c r="CH20" s="194"/>
      <c r="CI20" s="194"/>
      <c r="CJ20" s="194"/>
      <c r="CK20" s="194"/>
      <c r="CL20" s="194"/>
      <c r="CM20" s="194"/>
      <c r="CN20" s="194"/>
      <c r="CO20" s="194"/>
      <c r="CP20" s="194"/>
      <c r="CQ20" s="194"/>
      <c r="CR20" s="194"/>
      <c r="CS20" s="194"/>
      <c r="CT20" s="194"/>
      <c r="CU20" s="194"/>
      <c r="CV20" s="194"/>
      <c r="CW20" s="194"/>
      <c r="CX20" s="194"/>
      <c r="CY20" s="194"/>
      <c r="CZ20" s="194"/>
      <c r="DA20" s="194"/>
      <c r="DB20" s="194"/>
      <c r="DC20" s="194"/>
      <c r="DD20" s="194"/>
      <c r="DE20" s="194"/>
      <c r="DF20" s="194"/>
      <c r="DG20" s="194"/>
      <c r="DH20" s="194"/>
      <c r="DI20" s="194"/>
      <c r="DJ20" s="194"/>
      <c r="DK20" s="194"/>
      <c r="DL20" s="194"/>
    </row>
    <row r="21" spans="1:116" s="44" customFormat="1">
      <c r="A21" s="68" t="s">
        <v>130</v>
      </c>
      <c r="B21" s="96">
        <v>4615498.58</v>
      </c>
      <c r="C21" s="96">
        <v>1850960</v>
      </c>
      <c r="D21" s="96">
        <v>0</v>
      </c>
      <c r="E21" s="96">
        <v>1422575.95</v>
      </c>
      <c r="F21" s="195">
        <f t="shared" si="1"/>
        <v>7889034.5300000003</v>
      </c>
      <c r="G21" s="197">
        <v>150</v>
      </c>
      <c r="H21" s="56" t="s">
        <v>22</v>
      </c>
      <c r="I21" s="96">
        <f t="shared" si="2"/>
        <v>52593.563533333334</v>
      </c>
      <c r="J21" s="96">
        <f>+'ตารางที่ 3'!B19</f>
        <v>4408830.3099999996</v>
      </c>
      <c r="K21" s="96">
        <f>+'ตารางที่ 3'!C19</f>
        <v>1688970.8</v>
      </c>
      <c r="L21" s="96">
        <f>+'ตารางที่ 3'!D19</f>
        <v>0</v>
      </c>
      <c r="M21" s="96">
        <f>+'ตารางที่ 3'!E19</f>
        <v>2378781.1</v>
      </c>
      <c r="N21" s="96">
        <f>+'ตารางที่ 3'!F19</f>
        <v>8476582.209999999</v>
      </c>
      <c r="O21" s="96">
        <f>+'ตารางที่ 3'!G19</f>
        <v>158</v>
      </c>
      <c r="P21" s="492" t="s">
        <v>22</v>
      </c>
      <c r="Q21" s="96">
        <f t="shared" si="0"/>
        <v>53649.25449367088</v>
      </c>
      <c r="R21" s="493">
        <f t="shared" si="3"/>
        <v>7.4476499978001584E-2</v>
      </c>
      <c r="S21" s="493">
        <f t="shared" si="6"/>
        <v>5.3333333333333337E-2</v>
      </c>
      <c r="T21" s="493">
        <f t="shared" si="5"/>
        <v>2.0072626561393934E-2</v>
      </c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  <c r="AP21" s="194"/>
      <c r="AQ21" s="194"/>
      <c r="AR21" s="194"/>
      <c r="AS21" s="194"/>
      <c r="AT21" s="194"/>
      <c r="AU21" s="194"/>
      <c r="AV21" s="194"/>
      <c r="AW21" s="194"/>
      <c r="AX21" s="194"/>
      <c r="AY21" s="194"/>
      <c r="AZ21" s="194"/>
      <c r="BA21" s="194"/>
      <c r="BB21" s="194"/>
      <c r="BC21" s="194"/>
      <c r="BD21" s="194"/>
      <c r="BE21" s="194"/>
      <c r="BF21" s="194"/>
      <c r="BG21" s="194"/>
      <c r="BH21" s="194"/>
      <c r="BI21" s="194"/>
      <c r="BJ21" s="194"/>
      <c r="BK21" s="194"/>
      <c r="BL21" s="194"/>
      <c r="BM21" s="194"/>
      <c r="BN21" s="194"/>
      <c r="BO21" s="194"/>
      <c r="BP21" s="194"/>
      <c r="BQ21" s="194"/>
      <c r="BR21" s="194"/>
      <c r="BS21" s="194"/>
      <c r="BT21" s="194"/>
      <c r="BU21" s="194"/>
      <c r="BV21" s="194"/>
      <c r="BW21" s="194"/>
      <c r="BX21" s="194"/>
      <c r="BY21" s="194"/>
      <c r="BZ21" s="194"/>
      <c r="CA21" s="194"/>
      <c r="CB21" s="194"/>
      <c r="CC21" s="194"/>
      <c r="CD21" s="194"/>
      <c r="CE21" s="194"/>
      <c r="CF21" s="194"/>
      <c r="CG21" s="194"/>
      <c r="CH21" s="194"/>
      <c r="CI21" s="194"/>
      <c r="CJ21" s="194"/>
      <c r="CK21" s="194"/>
      <c r="CL21" s="194"/>
      <c r="CM21" s="194"/>
      <c r="CN21" s="194"/>
      <c r="CO21" s="194"/>
      <c r="CP21" s="194"/>
      <c r="CQ21" s="194"/>
      <c r="CR21" s="194"/>
      <c r="CS21" s="194"/>
      <c r="CT21" s="194"/>
      <c r="CU21" s="194"/>
      <c r="CV21" s="194"/>
      <c r="CW21" s="194"/>
      <c r="CX21" s="194"/>
      <c r="CY21" s="194"/>
      <c r="CZ21" s="194"/>
      <c r="DA21" s="194"/>
      <c r="DB21" s="194"/>
      <c r="DC21" s="194"/>
      <c r="DD21" s="194"/>
      <c r="DE21" s="194"/>
      <c r="DF21" s="194"/>
      <c r="DG21" s="194"/>
      <c r="DH21" s="194"/>
      <c r="DI21" s="194"/>
      <c r="DJ21" s="194"/>
      <c r="DK21" s="194"/>
      <c r="DL21" s="194"/>
    </row>
    <row r="22" spans="1:116" s="44" customFormat="1">
      <c r="A22" s="68" t="s">
        <v>131</v>
      </c>
      <c r="B22" s="96">
        <v>20989000</v>
      </c>
      <c r="C22" s="96">
        <v>720009</v>
      </c>
      <c r="D22" s="96">
        <v>0</v>
      </c>
      <c r="E22" s="96">
        <v>4624151.4400000004</v>
      </c>
      <c r="F22" s="195">
        <f t="shared" si="1"/>
        <v>26333160.440000001</v>
      </c>
      <c r="G22" s="197">
        <v>97</v>
      </c>
      <c r="H22" s="56" t="s">
        <v>22</v>
      </c>
      <c r="I22" s="96">
        <f t="shared" si="2"/>
        <v>271475.88082474226</v>
      </c>
      <c r="J22" s="96">
        <f>+'ตารางที่ 3'!B20</f>
        <v>26335500</v>
      </c>
      <c r="K22" s="96">
        <f>+'ตารางที่ 3'!C20</f>
        <v>1558570</v>
      </c>
      <c r="L22" s="96">
        <f>+'ตารางที่ 3'!D20</f>
        <v>0</v>
      </c>
      <c r="M22" s="96">
        <f>+'ตารางที่ 3'!E20</f>
        <v>7324081.6500000004</v>
      </c>
      <c r="N22" s="96">
        <f>+'ตารางที่ 3'!F20</f>
        <v>35218151.649999999</v>
      </c>
      <c r="O22" s="96">
        <f>+'ตารางที่ 3'!G20</f>
        <v>148</v>
      </c>
      <c r="P22" s="492" t="s">
        <v>22</v>
      </c>
      <c r="Q22" s="96">
        <f t="shared" si="0"/>
        <v>237960.48412162162</v>
      </c>
      <c r="R22" s="493">
        <f t="shared" si="3"/>
        <v>0.33740694476245697</v>
      </c>
      <c r="S22" s="493">
        <f t="shared" si="6"/>
        <v>0.52577319587628868</v>
      </c>
      <c r="T22" s="493">
        <f t="shared" si="5"/>
        <v>-0.12345625917595716</v>
      </c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  <c r="AN22" s="194"/>
      <c r="AO22" s="194"/>
      <c r="AP22" s="194"/>
      <c r="AQ22" s="194"/>
      <c r="AR22" s="194"/>
      <c r="AS22" s="194"/>
      <c r="AT22" s="194"/>
      <c r="AU22" s="194"/>
      <c r="AV22" s="194"/>
      <c r="AW22" s="194"/>
      <c r="AX22" s="194"/>
      <c r="AY22" s="194"/>
      <c r="AZ22" s="194"/>
      <c r="BA22" s="194"/>
      <c r="BB22" s="194"/>
      <c r="BC22" s="194"/>
      <c r="BD22" s="194"/>
      <c r="BE22" s="194"/>
      <c r="BF22" s="194"/>
      <c r="BG22" s="194"/>
      <c r="BH22" s="194"/>
      <c r="BI22" s="194"/>
      <c r="BJ22" s="194"/>
      <c r="BK22" s="194"/>
      <c r="BL22" s="194"/>
      <c r="BM22" s="194"/>
      <c r="BN22" s="194"/>
      <c r="BO22" s="194"/>
      <c r="BP22" s="194"/>
      <c r="BQ22" s="194"/>
      <c r="BR22" s="194"/>
      <c r="BS22" s="194"/>
      <c r="BT22" s="194"/>
      <c r="BU22" s="194"/>
      <c r="BV22" s="194"/>
      <c r="BW22" s="194"/>
      <c r="BX22" s="194"/>
      <c r="BY22" s="194"/>
      <c r="BZ22" s="194"/>
      <c r="CA22" s="194"/>
      <c r="CB22" s="194"/>
      <c r="CC22" s="194"/>
      <c r="CD22" s="194"/>
      <c r="CE22" s="194"/>
      <c r="CF22" s="194"/>
      <c r="CG22" s="194"/>
      <c r="CH22" s="194"/>
      <c r="CI22" s="194"/>
      <c r="CJ22" s="194"/>
      <c r="CK22" s="194"/>
      <c r="CL22" s="194"/>
      <c r="CM22" s="194"/>
      <c r="CN22" s="194"/>
      <c r="CO22" s="194"/>
      <c r="CP22" s="194"/>
      <c r="CQ22" s="194"/>
      <c r="CR22" s="194"/>
      <c r="CS22" s="194"/>
      <c r="CT22" s="194"/>
      <c r="CU22" s="194"/>
      <c r="CV22" s="194"/>
      <c r="CW22" s="194"/>
      <c r="CX22" s="194"/>
      <c r="CY22" s="194"/>
      <c r="CZ22" s="194"/>
      <c r="DA22" s="194"/>
      <c r="DB22" s="194"/>
      <c r="DC22" s="194"/>
      <c r="DD22" s="194"/>
      <c r="DE22" s="194"/>
      <c r="DF22" s="194"/>
      <c r="DG22" s="194"/>
      <c r="DH22" s="194"/>
      <c r="DI22" s="194"/>
      <c r="DJ22" s="194"/>
      <c r="DK22" s="194"/>
      <c r="DL22" s="194"/>
    </row>
    <row r="23" spans="1:116" s="44" customFormat="1">
      <c r="A23" s="68" t="s">
        <v>132</v>
      </c>
      <c r="B23" s="96">
        <v>12000000</v>
      </c>
      <c r="C23" s="96">
        <v>2800350</v>
      </c>
      <c r="D23" s="96">
        <v>0</v>
      </c>
      <c r="E23" s="96">
        <v>3174256.35</v>
      </c>
      <c r="F23" s="195">
        <f t="shared" si="1"/>
        <v>17974606.350000001</v>
      </c>
      <c r="G23" s="197">
        <v>153</v>
      </c>
      <c r="H23" s="56" t="s">
        <v>22</v>
      </c>
      <c r="I23" s="96">
        <f t="shared" si="2"/>
        <v>117481.08725490197</v>
      </c>
      <c r="J23" s="96">
        <f>+'ตารางที่ 3'!B21</f>
        <v>16833700</v>
      </c>
      <c r="K23" s="96">
        <f>+'ตารางที่ 3'!C21</f>
        <v>2625660</v>
      </c>
      <c r="L23" s="96">
        <f>+'ตารางที่ 3'!D21</f>
        <v>0</v>
      </c>
      <c r="M23" s="96">
        <f>+'ตารางที่ 3'!E21</f>
        <v>5418058.9699999997</v>
      </c>
      <c r="N23" s="96">
        <f>+'ตารางที่ 3'!F21</f>
        <v>24877418.969999999</v>
      </c>
      <c r="O23" s="96">
        <f>+'ตารางที่ 3'!G21</f>
        <v>159</v>
      </c>
      <c r="P23" s="492" t="s">
        <v>22</v>
      </c>
      <c r="Q23" s="96">
        <f t="shared" si="0"/>
        <v>156461.75452830188</v>
      </c>
      <c r="R23" s="493">
        <f t="shared" si="3"/>
        <v>0.38403136544906846</v>
      </c>
      <c r="S23" s="493">
        <f t="shared" si="6"/>
        <v>3.9215686274509803E-2</v>
      </c>
      <c r="T23" s="493">
        <f t="shared" si="5"/>
        <v>0.33180376675287726</v>
      </c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  <c r="AM23" s="194"/>
      <c r="AN23" s="194"/>
      <c r="AO23" s="194"/>
      <c r="AP23" s="194"/>
      <c r="AQ23" s="194"/>
      <c r="AR23" s="194"/>
      <c r="AS23" s="194"/>
      <c r="AT23" s="194"/>
      <c r="AU23" s="194"/>
      <c r="AV23" s="194"/>
      <c r="AW23" s="194"/>
      <c r="AX23" s="194"/>
      <c r="AY23" s="194"/>
      <c r="AZ23" s="194"/>
      <c r="BA23" s="194"/>
      <c r="BB23" s="194"/>
      <c r="BC23" s="194"/>
      <c r="BD23" s="194"/>
      <c r="BE23" s="194"/>
      <c r="BF23" s="194"/>
      <c r="BG23" s="194"/>
      <c r="BH23" s="194"/>
      <c r="BI23" s="194"/>
      <c r="BJ23" s="194"/>
      <c r="BK23" s="194"/>
      <c r="BL23" s="194"/>
      <c r="BM23" s="194"/>
      <c r="BN23" s="194"/>
      <c r="BO23" s="194"/>
      <c r="BP23" s="194"/>
      <c r="BQ23" s="194"/>
      <c r="BR23" s="194"/>
      <c r="BS23" s="194"/>
      <c r="BT23" s="194"/>
      <c r="BU23" s="194"/>
      <c r="BV23" s="194"/>
      <c r="BW23" s="194"/>
      <c r="BX23" s="194"/>
      <c r="BY23" s="194"/>
      <c r="BZ23" s="194"/>
      <c r="CA23" s="194"/>
      <c r="CB23" s="194"/>
      <c r="CC23" s="194"/>
      <c r="CD23" s="194"/>
      <c r="CE23" s="194"/>
      <c r="CF23" s="194"/>
      <c r="CG23" s="194"/>
      <c r="CH23" s="194"/>
      <c r="CI23" s="194"/>
      <c r="CJ23" s="194"/>
      <c r="CK23" s="194"/>
      <c r="CL23" s="194"/>
      <c r="CM23" s="194"/>
      <c r="CN23" s="194"/>
      <c r="CO23" s="194"/>
      <c r="CP23" s="194"/>
      <c r="CQ23" s="194"/>
      <c r="CR23" s="194"/>
      <c r="CS23" s="194"/>
      <c r="CT23" s="194"/>
      <c r="CU23" s="194"/>
      <c r="CV23" s="194"/>
      <c r="CW23" s="194"/>
      <c r="CX23" s="194"/>
      <c r="CY23" s="194"/>
      <c r="CZ23" s="194"/>
      <c r="DA23" s="194"/>
      <c r="DB23" s="194"/>
      <c r="DC23" s="194"/>
      <c r="DD23" s="194"/>
      <c r="DE23" s="194"/>
      <c r="DF23" s="194"/>
      <c r="DG23" s="194"/>
      <c r="DH23" s="194"/>
      <c r="DI23" s="194"/>
      <c r="DJ23" s="194"/>
      <c r="DK23" s="194"/>
      <c r="DL23" s="194"/>
    </row>
    <row r="24" spans="1:116" s="44" customFormat="1" ht="23.25" customHeight="1">
      <c r="A24" s="68" t="s">
        <v>141</v>
      </c>
      <c r="B24" s="96">
        <v>1899124.94</v>
      </c>
      <c r="C24" s="96">
        <v>508500</v>
      </c>
      <c r="D24" s="96">
        <v>0</v>
      </c>
      <c r="E24" s="96">
        <v>601414.43000000005</v>
      </c>
      <c r="F24" s="195">
        <f t="shared" si="1"/>
        <v>3009039.37</v>
      </c>
      <c r="G24" s="197">
        <v>41</v>
      </c>
      <c r="H24" s="56" t="s">
        <v>22</v>
      </c>
      <c r="I24" s="96">
        <f t="shared" si="2"/>
        <v>73391.204146341464</v>
      </c>
      <c r="J24" s="584"/>
      <c r="K24" s="585"/>
      <c r="L24" s="585"/>
      <c r="M24" s="585"/>
      <c r="N24" s="585"/>
      <c r="O24" s="585"/>
      <c r="P24" s="585"/>
      <c r="Q24" s="585"/>
      <c r="R24" s="584"/>
      <c r="S24" s="585"/>
      <c r="T24" s="586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4"/>
      <c r="AJ24" s="194"/>
      <c r="AK24" s="194"/>
      <c r="AL24" s="194"/>
      <c r="AM24" s="194"/>
      <c r="AN24" s="194"/>
      <c r="AO24" s="194"/>
      <c r="AP24" s="194"/>
      <c r="AQ24" s="194"/>
      <c r="AR24" s="194"/>
      <c r="AS24" s="194"/>
      <c r="AT24" s="194"/>
      <c r="AU24" s="194"/>
      <c r="AV24" s="194"/>
      <c r="AW24" s="194"/>
      <c r="AX24" s="194"/>
      <c r="AY24" s="194"/>
      <c r="AZ24" s="194"/>
      <c r="BA24" s="194"/>
      <c r="BB24" s="194"/>
      <c r="BC24" s="194"/>
      <c r="BD24" s="194"/>
      <c r="BE24" s="194"/>
      <c r="BF24" s="194"/>
      <c r="BG24" s="194"/>
      <c r="BH24" s="194"/>
      <c r="BI24" s="194"/>
      <c r="BJ24" s="194"/>
      <c r="BK24" s="194"/>
      <c r="BL24" s="194"/>
      <c r="BM24" s="194"/>
      <c r="BN24" s="194"/>
      <c r="BO24" s="194"/>
      <c r="BP24" s="194"/>
      <c r="BQ24" s="194"/>
      <c r="BR24" s="194"/>
      <c r="BS24" s="194"/>
      <c r="BT24" s="194"/>
      <c r="BU24" s="194"/>
      <c r="BV24" s="194"/>
      <c r="BW24" s="194"/>
      <c r="BX24" s="194"/>
      <c r="BY24" s="194"/>
      <c r="BZ24" s="194"/>
      <c r="CA24" s="194"/>
      <c r="CB24" s="194"/>
      <c r="CC24" s="194"/>
      <c r="CD24" s="194"/>
      <c r="CE24" s="194"/>
      <c r="CF24" s="194"/>
      <c r="CG24" s="194"/>
      <c r="CH24" s="194"/>
      <c r="CI24" s="194"/>
      <c r="CJ24" s="194"/>
      <c r="CK24" s="194"/>
      <c r="CL24" s="194"/>
      <c r="CM24" s="194"/>
      <c r="CN24" s="194"/>
      <c r="CO24" s="194"/>
      <c r="CP24" s="194"/>
      <c r="CQ24" s="194"/>
      <c r="CR24" s="194"/>
      <c r="CS24" s="194"/>
      <c r="CT24" s="194"/>
      <c r="CU24" s="194"/>
      <c r="CV24" s="194"/>
      <c r="CW24" s="194"/>
      <c r="CX24" s="194"/>
      <c r="CY24" s="194"/>
      <c r="CZ24" s="194"/>
      <c r="DA24" s="194"/>
      <c r="DB24" s="194"/>
      <c r="DC24" s="194"/>
      <c r="DD24" s="194"/>
      <c r="DE24" s="194"/>
      <c r="DF24" s="194"/>
      <c r="DG24" s="194"/>
      <c r="DH24" s="194"/>
      <c r="DI24" s="194"/>
      <c r="DJ24" s="194"/>
      <c r="DK24" s="194"/>
      <c r="DL24" s="194"/>
    </row>
    <row r="25" spans="1:116" s="44" customFormat="1">
      <c r="A25" s="68" t="s">
        <v>497</v>
      </c>
      <c r="B25" s="584" t="s">
        <v>517</v>
      </c>
      <c r="C25" s="585"/>
      <c r="D25" s="585"/>
      <c r="E25" s="585"/>
      <c r="F25" s="585"/>
      <c r="G25" s="585"/>
      <c r="H25" s="585"/>
      <c r="I25" s="586"/>
      <c r="J25" s="96">
        <f>+'ตารางที่ 3'!B22</f>
        <v>1137972.96</v>
      </c>
      <c r="K25" s="96">
        <f>+'ตารางที่ 3'!C22</f>
        <v>0</v>
      </c>
      <c r="L25" s="96">
        <f>+'ตารางที่ 3'!D22</f>
        <v>0</v>
      </c>
      <c r="M25" s="96">
        <f>+'ตารางที่ 3'!E22</f>
        <v>165266.29999999999</v>
      </c>
      <c r="N25" s="96">
        <f>+'ตารางที่ 3'!F22</f>
        <v>1303239.26</v>
      </c>
      <c r="O25" s="96">
        <f>+'ตารางที่ 3'!G22</f>
        <v>24</v>
      </c>
      <c r="P25" s="492" t="s">
        <v>22</v>
      </c>
      <c r="Q25" s="96">
        <f>+N25/O25</f>
        <v>54301.635833333334</v>
      </c>
      <c r="R25" s="587"/>
      <c r="S25" s="588"/>
      <c r="T25" s="589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94"/>
      <c r="AJ25" s="194"/>
      <c r="AK25" s="194"/>
      <c r="AL25" s="194"/>
      <c r="AM25" s="194"/>
      <c r="AN25" s="194"/>
      <c r="AO25" s="194"/>
      <c r="AP25" s="194"/>
      <c r="AQ25" s="194"/>
      <c r="AR25" s="194"/>
      <c r="AS25" s="194"/>
      <c r="AT25" s="194"/>
      <c r="AU25" s="194"/>
      <c r="AV25" s="194"/>
      <c r="AW25" s="194"/>
      <c r="AX25" s="194"/>
      <c r="AY25" s="194"/>
      <c r="AZ25" s="194"/>
      <c r="BA25" s="194"/>
      <c r="BB25" s="194"/>
      <c r="BC25" s="194"/>
      <c r="BD25" s="194"/>
      <c r="BE25" s="194"/>
      <c r="BF25" s="194"/>
      <c r="BG25" s="194"/>
      <c r="BH25" s="194"/>
      <c r="BI25" s="194"/>
      <c r="BJ25" s="194"/>
      <c r="BK25" s="194"/>
      <c r="BL25" s="194"/>
      <c r="BM25" s="194"/>
      <c r="BN25" s="194"/>
      <c r="BO25" s="194"/>
      <c r="BP25" s="194"/>
      <c r="BQ25" s="194"/>
      <c r="BR25" s="194"/>
      <c r="BS25" s="194"/>
      <c r="BT25" s="194"/>
      <c r="BU25" s="194"/>
      <c r="BV25" s="194"/>
      <c r="BW25" s="194"/>
      <c r="BX25" s="194"/>
      <c r="BY25" s="194"/>
      <c r="BZ25" s="194"/>
      <c r="CA25" s="194"/>
      <c r="CB25" s="194"/>
      <c r="CC25" s="194"/>
      <c r="CD25" s="194"/>
      <c r="CE25" s="194"/>
      <c r="CF25" s="194"/>
      <c r="CG25" s="194"/>
      <c r="CH25" s="194"/>
      <c r="CI25" s="194"/>
      <c r="CJ25" s="194"/>
      <c r="CK25" s="194"/>
      <c r="CL25" s="194"/>
      <c r="CM25" s="194"/>
      <c r="CN25" s="194"/>
      <c r="CO25" s="194"/>
      <c r="CP25" s="194"/>
      <c r="CQ25" s="194"/>
      <c r="CR25" s="194"/>
      <c r="CS25" s="194"/>
      <c r="CT25" s="194"/>
      <c r="CU25" s="194"/>
      <c r="CV25" s="194"/>
      <c r="CW25" s="194"/>
      <c r="CX25" s="194"/>
      <c r="CY25" s="194"/>
      <c r="CZ25" s="194"/>
      <c r="DA25" s="194"/>
      <c r="DB25" s="194"/>
      <c r="DC25" s="194"/>
      <c r="DD25" s="194"/>
      <c r="DE25" s="194"/>
      <c r="DF25" s="194"/>
      <c r="DG25" s="194"/>
      <c r="DH25" s="194"/>
      <c r="DI25" s="194"/>
      <c r="DJ25" s="194"/>
      <c r="DK25" s="194"/>
      <c r="DL25" s="194"/>
    </row>
    <row r="26" spans="1:116" s="44" customFormat="1">
      <c r="A26" s="68" t="s">
        <v>187</v>
      </c>
      <c r="B26" s="96">
        <v>4749463.5999999996</v>
      </c>
      <c r="C26" s="96">
        <v>0</v>
      </c>
      <c r="D26" s="96">
        <v>0</v>
      </c>
      <c r="E26" s="96">
        <v>1267383.4099999999</v>
      </c>
      <c r="F26" s="195">
        <f t="shared" si="1"/>
        <v>6016847.0099999998</v>
      </c>
      <c r="G26" s="197">
        <v>41</v>
      </c>
      <c r="H26" s="56" t="s">
        <v>22</v>
      </c>
      <c r="I26" s="96">
        <f t="shared" si="2"/>
        <v>146752.36609756097</v>
      </c>
      <c r="J26" s="96">
        <f>+'ตารางที่ 3'!B23</f>
        <v>2917062.8</v>
      </c>
      <c r="K26" s="96">
        <f>+'ตารางที่ 3'!C23</f>
        <v>0</v>
      </c>
      <c r="L26" s="96">
        <f>+'ตารางที่ 3'!D23</f>
        <v>0</v>
      </c>
      <c r="M26" s="96">
        <f>+'ตารางที่ 3'!E23</f>
        <v>1105620.6499999999</v>
      </c>
      <c r="N26" s="96">
        <f>+'ตารางที่ 3'!F23</f>
        <v>4022683.4499999997</v>
      </c>
      <c r="O26" s="96">
        <f>+'ตารางที่ 3'!G23</f>
        <v>41</v>
      </c>
      <c r="P26" s="492" t="s">
        <v>22</v>
      </c>
      <c r="Q26" s="96">
        <f t="shared" si="0"/>
        <v>98114.230487804874</v>
      </c>
      <c r="R26" s="493">
        <f t="shared" ref="R26:R37" si="7">(N26-F26)/F26</f>
        <v>-0.33142999260006117</v>
      </c>
      <c r="S26" s="493">
        <f t="shared" si="6"/>
        <v>0</v>
      </c>
      <c r="T26" s="493">
        <f t="shared" si="5"/>
        <v>-0.33142999260006112</v>
      </c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  <c r="AM26" s="194"/>
      <c r="AN26" s="194"/>
      <c r="AO26" s="194"/>
      <c r="AP26" s="194"/>
      <c r="AQ26" s="194"/>
      <c r="AR26" s="194"/>
      <c r="AS26" s="194"/>
      <c r="AT26" s="194"/>
      <c r="AU26" s="194"/>
      <c r="AV26" s="194"/>
      <c r="AW26" s="194"/>
      <c r="AX26" s="194"/>
      <c r="AY26" s="194"/>
      <c r="AZ26" s="194"/>
      <c r="BA26" s="194"/>
      <c r="BB26" s="194"/>
      <c r="BC26" s="194"/>
      <c r="BD26" s="194"/>
      <c r="BE26" s="194"/>
      <c r="BF26" s="194"/>
      <c r="BG26" s="194"/>
      <c r="BH26" s="194"/>
      <c r="BI26" s="194"/>
      <c r="BJ26" s="194"/>
      <c r="BK26" s="194"/>
      <c r="BL26" s="194"/>
      <c r="BM26" s="194"/>
      <c r="BN26" s="194"/>
      <c r="BO26" s="194"/>
      <c r="BP26" s="194"/>
      <c r="BQ26" s="194"/>
      <c r="BR26" s="194"/>
      <c r="BS26" s="194"/>
      <c r="BT26" s="194"/>
      <c r="BU26" s="194"/>
      <c r="BV26" s="194"/>
      <c r="BW26" s="194"/>
      <c r="BX26" s="194"/>
      <c r="BY26" s="194"/>
      <c r="BZ26" s="194"/>
      <c r="CA26" s="194"/>
      <c r="CB26" s="194"/>
      <c r="CC26" s="194"/>
      <c r="CD26" s="194"/>
      <c r="CE26" s="194"/>
      <c r="CF26" s="194"/>
      <c r="CG26" s="194"/>
      <c r="CH26" s="194"/>
      <c r="CI26" s="194"/>
      <c r="CJ26" s="194"/>
      <c r="CK26" s="194"/>
      <c r="CL26" s="194"/>
      <c r="CM26" s="194"/>
      <c r="CN26" s="194"/>
      <c r="CO26" s="194"/>
      <c r="CP26" s="194"/>
      <c r="CQ26" s="194"/>
      <c r="CR26" s="194"/>
      <c r="CS26" s="194"/>
      <c r="CT26" s="194"/>
      <c r="CU26" s="194"/>
      <c r="CV26" s="194"/>
      <c r="CW26" s="194"/>
      <c r="CX26" s="194"/>
      <c r="CY26" s="194"/>
      <c r="CZ26" s="194"/>
      <c r="DA26" s="194"/>
      <c r="DB26" s="194"/>
      <c r="DC26" s="194"/>
      <c r="DD26" s="194"/>
      <c r="DE26" s="194"/>
      <c r="DF26" s="194"/>
      <c r="DG26" s="194"/>
      <c r="DH26" s="194"/>
      <c r="DI26" s="194"/>
      <c r="DJ26" s="194"/>
      <c r="DK26" s="194"/>
      <c r="DL26" s="194"/>
    </row>
    <row r="27" spans="1:116" s="44" customFormat="1">
      <c r="A27" s="68" t="s">
        <v>198</v>
      </c>
      <c r="B27" s="96">
        <v>299644909.92000002</v>
      </c>
      <c r="C27" s="96">
        <v>62031826.5</v>
      </c>
      <c r="D27" s="96">
        <v>9346279.6799999997</v>
      </c>
      <c r="E27" s="96">
        <v>53192463.229999997</v>
      </c>
      <c r="F27" s="195">
        <f t="shared" si="1"/>
        <v>424215479.33000004</v>
      </c>
      <c r="G27" s="198">
        <v>1</v>
      </c>
      <c r="H27" s="43" t="s">
        <v>161</v>
      </c>
      <c r="I27" s="96">
        <f t="shared" si="2"/>
        <v>424215479.33000004</v>
      </c>
      <c r="J27" s="96">
        <f>+'ตารางที่ 3'!B24</f>
        <v>383953971.43000001</v>
      </c>
      <c r="K27" s="96">
        <f>+'ตารางที่ 3'!C24</f>
        <v>41297323.32</v>
      </c>
      <c r="L27" s="96">
        <f>+'ตารางที่ 3'!D24</f>
        <v>0</v>
      </c>
      <c r="M27" s="96">
        <f>+'ตารางที่ 3'!E24</f>
        <v>58626426</v>
      </c>
      <c r="N27" s="96">
        <f>+'ตารางที่ 3'!F24</f>
        <v>483877720.75</v>
      </c>
      <c r="O27" s="96">
        <f>+'ตารางที่ 3'!G24</f>
        <v>1</v>
      </c>
      <c r="P27" s="494" t="str">
        <f>+'ตารางที่ 3'!H24</f>
        <v>ด้าน</v>
      </c>
      <c r="Q27" s="96">
        <f t="shared" si="0"/>
        <v>483877720.75</v>
      </c>
      <c r="R27" s="493">
        <f t="shared" si="7"/>
        <v>0.14064135876000955</v>
      </c>
      <c r="S27" s="493">
        <f>(O27-G27)/G27</f>
        <v>0</v>
      </c>
      <c r="T27" s="493">
        <f t="shared" si="5"/>
        <v>0.14064135876000955</v>
      </c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  <c r="AM27" s="194"/>
      <c r="AN27" s="194"/>
      <c r="AO27" s="194"/>
      <c r="AP27" s="194"/>
      <c r="AQ27" s="194"/>
      <c r="AR27" s="194"/>
      <c r="AS27" s="194"/>
      <c r="AT27" s="194"/>
      <c r="AU27" s="194"/>
      <c r="AV27" s="194"/>
      <c r="AW27" s="194"/>
      <c r="AX27" s="194"/>
      <c r="AY27" s="194"/>
      <c r="AZ27" s="194"/>
      <c r="BA27" s="194"/>
      <c r="BB27" s="194"/>
      <c r="BC27" s="194"/>
      <c r="BD27" s="194"/>
      <c r="BE27" s="194"/>
      <c r="BF27" s="194"/>
      <c r="BG27" s="194"/>
      <c r="BH27" s="194"/>
      <c r="BI27" s="194"/>
      <c r="BJ27" s="194"/>
      <c r="BK27" s="194"/>
      <c r="BL27" s="194"/>
      <c r="BM27" s="194"/>
      <c r="BN27" s="194"/>
      <c r="BO27" s="194"/>
      <c r="BP27" s="194"/>
      <c r="BQ27" s="194"/>
      <c r="BR27" s="194"/>
      <c r="BS27" s="194"/>
      <c r="BT27" s="194"/>
      <c r="BU27" s="194"/>
      <c r="BV27" s="194"/>
      <c r="BW27" s="194"/>
      <c r="BX27" s="194"/>
      <c r="BY27" s="194"/>
      <c r="BZ27" s="194"/>
      <c r="CA27" s="194"/>
      <c r="CB27" s="194"/>
      <c r="CC27" s="194"/>
      <c r="CD27" s="194"/>
      <c r="CE27" s="194"/>
      <c r="CF27" s="194"/>
      <c r="CG27" s="194"/>
      <c r="CH27" s="194"/>
      <c r="CI27" s="194"/>
      <c r="CJ27" s="194"/>
      <c r="CK27" s="194"/>
      <c r="CL27" s="194"/>
      <c r="CM27" s="194"/>
      <c r="CN27" s="194"/>
      <c r="CO27" s="194"/>
      <c r="CP27" s="194"/>
      <c r="CQ27" s="194"/>
      <c r="CR27" s="194"/>
      <c r="CS27" s="194"/>
      <c r="CT27" s="194"/>
      <c r="CU27" s="194"/>
      <c r="CV27" s="194"/>
      <c r="CW27" s="194"/>
      <c r="CX27" s="194"/>
      <c r="CY27" s="194"/>
      <c r="CZ27" s="194"/>
      <c r="DA27" s="194"/>
      <c r="DB27" s="194"/>
      <c r="DC27" s="194"/>
      <c r="DD27" s="194"/>
      <c r="DE27" s="194"/>
      <c r="DF27" s="194"/>
      <c r="DG27" s="194"/>
      <c r="DH27" s="194"/>
      <c r="DI27" s="194"/>
      <c r="DJ27" s="194"/>
      <c r="DK27" s="194"/>
      <c r="DL27" s="194"/>
    </row>
    <row r="28" spans="1:116" s="44" customFormat="1">
      <c r="A28" s="199" t="s">
        <v>188</v>
      </c>
      <c r="B28" s="96">
        <v>7953702.3300000001</v>
      </c>
      <c r="C28" s="96">
        <v>1646557.87</v>
      </c>
      <c r="D28" s="96">
        <v>248085.4</v>
      </c>
      <c r="E28" s="96">
        <v>1411927.94</v>
      </c>
      <c r="F28" s="195">
        <f t="shared" si="1"/>
        <v>11260273.539999999</v>
      </c>
      <c r="G28" s="198">
        <v>69240</v>
      </c>
      <c r="H28" s="43" t="s">
        <v>159</v>
      </c>
      <c r="I28" s="96">
        <f t="shared" si="2"/>
        <v>162.62671201617562</v>
      </c>
      <c r="J28" s="96">
        <f>+'ตารางที่ 3'!B25</f>
        <v>11406282.17</v>
      </c>
      <c r="K28" s="96">
        <f>+'ตารางที่ 3'!C25</f>
        <v>1226836.96</v>
      </c>
      <c r="L28" s="96">
        <f>+'ตารางที่ 3'!D25</f>
        <v>0</v>
      </c>
      <c r="M28" s="96">
        <f>+'ตารางที่ 3'!E25</f>
        <v>1741639.9</v>
      </c>
      <c r="N28" s="96">
        <f>+'ตารางที่ 3'!F25</f>
        <v>14374759.029999999</v>
      </c>
      <c r="O28" s="96">
        <f>+'ตารางที่ 3'!G25</f>
        <v>67513</v>
      </c>
      <c r="P28" s="494" t="str">
        <f>+'ตารางที่ 3'!H25</f>
        <v>จำนวนเอกสารรายการ</v>
      </c>
      <c r="Q28" s="96">
        <f t="shared" si="0"/>
        <v>212.91838653296401</v>
      </c>
      <c r="R28" s="493">
        <f t="shared" si="7"/>
        <v>0.27659057117363778</v>
      </c>
      <c r="S28" s="493">
        <f t="shared" ref="S28:S37" si="8">(O28-G28)/G28</f>
        <v>-2.4942229924898904E-2</v>
      </c>
      <c r="T28" s="493">
        <f>(Q28-I28)/I28</f>
        <v>0.30924608813210308</v>
      </c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94"/>
      <c r="AH28" s="194"/>
      <c r="AI28" s="194"/>
      <c r="AJ28" s="194"/>
      <c r="AK28" s="194"/>
      <c r="AL28" s="194"/>
      <c r="AM28" s="194"/>
      <c r="AN28" s="194"/>
      <c r="AO28" s="194"/>
      <c r="AP28" s="194"/>
      <c r="AQ28" s="194"/>
      <c r="AR28" s="194"/>
      <c r="AS28" s="194"/>
      <c r="AT28" s="194"/>
      <c r="AU28" s="194"/>
      <c r="AV28" s="194"/>
      <c r="AW28" s="194"/>
      <c r="AX28" s="194"/>
      <c r="AY28" s="194"/>
      <c r="AZ28" s="194"/>
      <c r="BA28" s="194"/>
      <c r="BB28" s="194"/>
      <c r="BC28" s="194"/>
      <c r="BD28" s="194"/>
      <c r="BE28" s="194"/>
      <c r="BF28" s="194"/>
      <c r="BG28" s="194"/>
      <c r="BH28" s="194"/>
      <c r="BI28" s="194"/>
      <c r="BJ28" s="194"/>
      <c r="BK28" s="194"/>
      <c r="BL28" s="194"/>
      <c r="BM28" s="194"/>
      <c r="BN28" s="194"/>
      <c r="BO28" s="194"/>
      <c r="BP28" s="194"/>
      <c r="BQ28" s="194"/>
      <c r="BR28" s="194"/>
      <c r="BS28" s="194"/>
      <c r="BT28" s="194"/>
      <c r="BU28" s="194"/>
      <c r="BV28" s="194"/>
      <c r="BW28" s="194"/>
      <c r="BX28" s="194"/>
      <c r="BY28" s="194"/>
      <c r="BZ28" s="194"/>
      <c r="CA28" s="194"/>
      <c r="CB28" s="194"/>
      <c r="CC28" s="194"/>
      <c r="CD28" s="194"/>
      <c r="CE28" s="194"/>
      <c r="CF28" s="194"/>
      <c r="CG28" s="194"/>
      <c r="CH28" s="194"/>
      <c r="CI28" s="194"/>
      <c r="CJ28" s="194"/>
      <c r="CK28" s="194"/>
      <c r="CL28" s="194"/>
      <c r="CM28" s="194"/>
      <c r="CN28" s="194"/>
      <c r="CO28" s="194"/>
      <c r="CP28" s="194"/>
      <c r="CQ28" s="194"/>
      <c r="CR28" s="194"/>
      <c r="CS28" s="194"/>
      <c r="CT28" s="194"/>
      <c r="CU28" s="194"/>
      <c r="CV28" s="194"/>
      <c r="CW28" s="194"/>
      <c r="CX28" s="194"/>
      <c r="CY28" s="194"/>
      <c r="CZ28" s="194"/>
      <c r="DA28" s="194"/>
      <c r="DB28" s="194"/>
      <c r="DC28" s="194"/>
      <c r="DD28" s="194"/>
      <c r="DE28" s="194"/>
      <c r="DF28" s="194"/>
      <c r="DG28" s="194"/>
      <c r="DH28" s="194"/>
      <c r="DI28" s="194"/>
      <c r="DJ28" s="194"/>
      <c r="DK28" s="194"/>
      <c r="DL28" s="194"/>
    </row>
    <row r="29" spans="1:116" s="194" customFormat="1">
      <c r="A29" s="200" t="s">
        <v>189</v>
      </c>
      <c r="B29" s="96">
        <v>5254790.51</v>
      </c>
      <c r="C29" s="96">
        <v>1087835.1100000001</v>
      </c>
      <c r="D29" s="96">
        <v>163903.14000000001</v>
      </c>
      <c r="E29" s="96">
        <v>932821.62</v>
      </c>
      <c r="F29" s="195">
        <f t="shared" si="1"/>
        <v>7439350.3799999999</v>
      </c>
      <c r="G29" s="198">
        <v>1770</v>
      </c>
      <c r="H29" s="43" t="s">
        <v>160</v>
      </c>
      <c r="I29" s="96">
        <f t="shared" si="2"/>
        <v>4203.0228135593215</v>
      </c>
      <c r="J29" s="96">
        <f>+'ตารางที่ 3'!B26</f>
        <v>7249472.9100000001</v>
      </c>
      <c r="K29" s="96">
        <f>+'ตารางที่ 3'!C26</f>
        <v>779738.85</v>
      </c>
      <c r="L29" s="96">
        <f>+'ตารางที่ 3'!D26</f>
        <v>0</v>
      </c>
      <c r="M29" s="96">
        <f>+'ตารางที่ 3'!E26</f>
        <v>1106931.3500000001</v>
      </c>
      <c r="N29" s="96">
        <f>+'ตารางที่ 3'!F26</f>
        <v>9136143.1099999994</v>
      </c>
      <c r="O29" s="96">
        <f>+'ตารางที่ 3'!G26</f>
        <v>1689</v>
      </c>
      <c r="P29" s="494" t="str">
        <f>+'ตารางที่ 3'!H26</f>
        <v>จำนวนบุคลากร</v>
      </c>
      <c r="Q29" s="96">
        <f t="shared" si="0"/>
        <v>5409.2025518058017</v>
      </c>
      <c r="R29" s="493">
        <f t="shared" si="7"/>
        <v>0.22808345397491542</v>
      </c>
      <c r="S29" s="493">
        <f t="shared" si="8"/>
        <v>-4.576271186440678E-2</v>
      </c>
      <c r="T29" s="493">
        <f t="shared" si="5"/>
        <v>0.28697910807317967</v>
      </c>
    </row>
    <row r="30" spans="1:116" s="194" customFormat="1">
      <c r="A30" s="201" t="s">
        <v>190</v>
      </c>
      <c r="B30" s="96">
        <v>3776402.49</v>
      </c>
      <c r="C30" s="96">
        <v>781782.49</v>
      </c>
      <c r="D30" s="96">
        <v>117790.47</v>
      </c>
      <c r="E30" s="96">
        <v>670380.65</v>
      </c>
      <c r="F30" s="195">
        <f t="shared" si="1"/>
        <v>5346356.1000000006</v>
      </c>
      <c r="G30" s="198">
        <v>8</v>
      </c>
      <c r="H30" s="43" t="s">
        <v>161</v>
      </c>
      <c r="I30" s="96">
        <f t="shared" si="2"/>
        <v>668294.51250000007</v>
      </c>
      <c r="J30" s="96">
        <f>+'ตารางที่ 3'!B27</f>
        <v>5958057.7300000004</v>
      </c>
      <c r="K30" s="96">
        <f>+'ตารางที่ 3'!C27</f>
        <v>640836.81000000006</v>
      </c>
      <c r="L30" s="96">
        <f>+'ตารางที่ 3'!D27</f>
        <v>0</v>
      </c>
      <c r="M30" s="96">
        <f>+'ตารางที่ 3'!E27</f>
        <v>909743.5</v>
      </c>
      <c r="N30" s="96">
        <f>+'ตารางที่ 3'!F27</f>
        <v>7508638.040000001</v>
      </c>
      <c r="O30" s="96">
        <f>+'ตารางที่ 3'!G27</f>
        <v>8</v>
      </c>
      <c r="P30" s="494" t="str">
        <f>+'ตารางที่ 3'!H27</f>
        <v>ด้าน</v>
      </c>
      <c r="Q30" s="96">
        <f t="shared" si="0"/>
        <v>938579.75500000012</v>
      </c>
      <c r="R30" s="493">
        <f t="shared" si="7"/>
        <v>0.4044403140299615</v>
      </c>
      <c r="S30" s="493">
        <f t="shared" si="8"/>
        <v>0</v>
      </c>
      <c r="T30" s="493">
        <f t="shared" si="5"/>
        <v>0.4044403140299615</v>
      </c>
    </row>
    <row r="31" spans="1:116" s="194" customFormat="1">
      <c r="A31" s="201" t="s">
        <v>191</v>
      </c>
      <c r="B31" s="96">
        <v>9721571.1500000004</v>
      </c>
      <c r="C31" s="96">
        <v>2012538.16</v>
      </c>
      <c r="D31" s="96">
        <v>303227.32</v>
      </c>
      <c r="E31" s="96">
        <v>1725757.05</v>
      </c>
      <c r="F31" s="195">
        <f t="shared" si="1"/>
        <v>13763093.680000002</v>
      </c>
      <c r="G31" s="198">
        <v>14561</v>
      </c>
      <c r="H31" s="43" t="s">
        <v>162</v>
      </c>
      <c r="I31" s="96">
        <f t="shared" si="2"/>
        <v>945.20250532243676</v>
      </c>
      <c r="J31" s="96">
        <f>+'ตารางที่ 3'!B28</f>
        <v>13693144.18</v>
      </c>
      <c r="K31" s="96">
        <f>+'ตารางที่ 3'!C28</f>
        <v>1472807.28</v>
      </c>
      <c r="L31" s="96">
        <f>+'ตารางที่ 3'!D28</f>
        <v>0</v>
      </c>
      <c r="M31" s="96">
        <f>+'ตารางที่ 3'!E28</f>
        <v>2090823.81</v>
      </c>
      <c r="N31" s="96">
        <f>+'ตารางที่ 3'!F28</f>
        <v>17256775.27</v>
      </c>
      <c r="O31" s="96">
        <f>+'ตารางที่ 3'!G28</f>
        <v>17666</v>
      </c>
      <c r="P31" s="494" t="str">
        <f>+'ตารางที่ 3'!H28</f>
        <v>จำนวนนักศึกษา</v>
      </c>
      <c r="Q31" s="96">
        <f t="shared" si="0"/>
        <v>976.83546190422283</v>
      </c>
      <c r="R31" s="493">
        <f t="shared" si="7"/>
        <v>0.25384420619594283</v>
      </c>
      <c r="S31" s="493">
        <f t="shared" si="8"/>
        <v>0.21324084884279926</v>
      </c>
      <c r="T31" s="493">
        <f t="shared" si="5"/>
        <v>3.3466856471138021E-2</v>
      </c>
    </row>
    <row r="32" spans="1:116" s="194" customFormat="1">
      <c r="A32" s="201" t="s">
        <v>192</v>
      </c>
      <c r="B32" s="96">
        <v>2642128.5699999998</v>
      </c>
      <c r="C32" s="96">
        <v>546967.61</v>
      </c>
      <c r="D32" s="96">
        <v>82411.12</v>
      </c>
      <c r="E32" s="96">
        <v>469026.24</v>
      </c>
      <c r="F32" s="195">
        <f t="shared" si="1"/>
        <v>3740533.54</v>
      </c>
      <c r="G32" s="198">
        <v>1</v>
      </c>
      <c r="H32" s="43" t="s">
        <v>161</v>
      </c>
      <c r="I32" s="96">
        <f t="shared" si="2"/>
        <v>3740533.54</v>
      </c>
      <c r="J32" s="96">
        <f>+'ตารางที่ 3'!B29</f>
        <v>3489928.43</v>
      </c>
      <c r="K32" s="96">
        <f>+'ตารางที่ 3'!C29</f>
        <v>375369.74</v>
      </c>
      <c r="L32" s="96">
        <f>+'ตารางที่ 3'!D29</f>
        <v>0</v>
      </c>
      <c r="M32" s="96">
        <f>+'ตารางที่ 3'!E29</f>
        <v>532881.66</v>
      </c>
      <c r="N32" s="96">
        <f>+'ตารางที่ 3'!F29</f>
        <v>4398179.83</v>
      </c>
      <c r="O32" s="96">
        <f>+'ตารางที่ 3'!G29</f>
        <v>1</v>
      </c>
      <c r="P32" s="494" t="str">
        <f>+'ตารางที่ 3'!H29</f>
        <v>ด้าน</v>
      </c>
      <c r="Q32" s="96">
        <f>+N32/O32</f>
        <v>4398179.83</v>
      </c>
      <c r="R32" s="493">
        <f t="shared" si="7"/>
        <v>0.17581617247041181</v>
      </c>
      <c r="S32" s="493">
        <f t="shared" si="8"/>
        <v>0</v>
      </c>
      <c r="T32" s="493">
        <f t="shared" si="5"/>
        <v>0.17581617247041181</v>
      </c>
    </row>
    <row r="33" spans="1:116" s="194" customFormat="1">
      <c r="A33" s="201" t="s">
        <v>193</v>
      </c>
      <c r="B33" s="96">
        <v>3729862.99</v>
      </c>
      <c r="C33" s="96">
        <v>772147.99</v>
      </c>
      <c r="D33" s="96">
        <v>116338.84</v>
      </c>
      <c r="E33" s="96">
        <v>662119.04</v>
      </c>
      <c r="F33" s="195">
        <f t="shared" si="1"/>
        <v>5280468.8600000003</v>
      </c>
      <c r="G33" s="198">
        <v>14561</v>
      </c>
      <c r="H33" s="43" t="s">
        <v>162</v>
      </c>
      <c r="I33" s="96">
        <f t="shared" si="2"/>
        <v>362.64465764713964</v>
      </c>
      <c r="J33" s="96">
        <f>+'ตารางที่ 3'!B30</f>
        <v>5847621.7800000003</v>
      </c>
      <c r="K33" s="96">
        <f>+'ตารางที่ 3'!C30</f>
        <v>628958.53</v>
      </c>
      <c r="L33" s="96">
        <f>+'ตารางที่ 3'!D30</f>
        <v>0</v>
      </c>
      <c r="M33" s="96">
        <f>+'ตารางที่ 3'!E30</f>
        <v>892880.89</v>
      </c>
      <c r="N33" s="96">
        <f>+'ตารางที่ 3'!F30</f>
        <v>7369461.2000000002</v>
      </c>
      <c r="O33" s="96">
        <f>+'ตารางที่ 3'!G30</f>
        <v>17666</v>
      </c>
      <c r="P33" s="494" t="str">
        <f>+'ตารางที่ 3'!H30</f>
        <v>จำนวนนักศึกษา</v>
      </c>
      <c r="Q33" s="96">
        <f t="shared" si="0"/>
        <v>417.15505490773239</v>
      </c>
      <c r="R33" s="493">
        <f t="shared" si="7"/>
        <v>0.3956073590025867</v>
      </c>
      <c r="S33" s="493">
        <f t="shared" si="8"/>
        <v>0.21324084884279926</v>
      </c>
      <c r="T33" s="493">
        <f t="shared" si="5"/>
        <v>0.15031352623325403</v>
      </c>
    </row>
    <row r="34" spans="1:116" s="194" customFormat="1">
      <c r="A34" s="201" t="s">
        <v>197</v>
      </c>
      <c r="B34" s="96">
        <v>6021174.7400000002</v>
      </c>
      <c r="C34" s="96">
        <v>1246490.28</v>
      </c>
      <c r="D34" s="96">
        <v>187807.57</v>
      </c>
      <c r="E34" s="96">
        <v>0</v>
      </c>
      <c r="F34" s="195">
        <f t="shared" si="1"/>
        <v>7455472.5900000008</v>
      </c>
      <c r="G34" s="198">
        <v>1</v>
      </c>
      <c r="H34" s="43" t="s">
        <v>161</v>
      </c>
      <c r="I34" s="96">
        <f t="shared" si="2"/>
        <v>7455472.5900000008</v>
      </c>
      <c r="J34" s="96">
        <f>+'ตารางที่ 3'!B31</f>
        <v>13071808.66</v>
      </c>
      <c r="K34" s="96">
        <f>+'ตารางที่ 3'!C31</f>
        <v>1405977.67</v>
      </c>
      <c r="L34" s="96">
        <f>+'ตารางที่ 3'!D31</f>
        <v>0</v>
      </c>
      <c r="M34" s="96">
        <f>+'ตารางที่ 3'!E31</f>
        <v>1995951.29</v>
      </c>
      <c r="N34" s="96">
        <f>+'ตารางที่ 3'!F31</f>
        <v>16473737.620000001</v>
      </c>
      <c r="O34" s="96">
        <f>+'ตารางที่ 3'!G31</f>
        <v>1</v>
      </c>
      <c r="P34" s="494" t="str">
        <f>+'ตารางที่ 3'!H31</f>
        <v>ด้าน</v>
      </c>
      <c r="Q34" s="96">
        <f t="shared" si="0"/>
        <v>16473737.620000001</v>
      </c>
      <c r="R34" s="493">
        <f t="shared" si="7"/>
        <v>1.2096168178655997</v>
      </c>
      <c r="S34" s="493">
        <f t="shared" si="8"/>
        <v>0</v>
      </c>
      <c r="T34" s="493">
        <f t="shared" si="5"/>
        <v>1.2096168178655997</v>
      </c>
    </row>
    <row r="35" spans="1:116" s="194" customFormat="1">
      <c r="A35" s="201" t="s">
        <v>194</v>
      </c>
      <c r="B35" s="96">
        <v>13740661.960000001</v>
      </c>
      <c r="C35" s="96">
        <v>2844561.46</v>
      </c>
      <c r="D35" s="96">
        <v>428587.52000000002</v>
      </c>
      <c r="E35" s="96">
        <v>2439219.33</v>
      </c>
      <c r="F35" s="195">
        <f t="shared" si="1"/>
        <v>19453030.270000003</v>
      </c>
      <c r="G35" s="198">
        <v>1</v>
      </c>
      <c r="H35" s="43" t="s">
        <v>161</v>
      </c>
      <c r="I35" s="96">
        <f t="shared" si="2"/>
        <v>19453030.270000003</v>
      </c>
      <c r="J35" s="96">
        <f>+'ตารางที่ 3'!B32</f>
        <v>21685355.989999998</v>
      </c>
      <c r="K35" s="96">
        <f>+'ตารางที่ 3'!C32</f>
        <v>2332433.64</v>
      </c>
      <c r="L35" s="96">
        <f>+'ตารางที่ 3'!D32</f>
        <v>0</v>
      </c>
      <c r="M35" s="96">
        <f>+'ตารางที่ 3'!E32</f>
        <v>3311164.91</v>
      </c>
      <c r="N35" s="96">
        <f>+'ตารางที่ 3'!F32</f>
        <v>27328954.539999999</v>
      </c>
      <c r="O35" s="96">
        <f>+'ตารางที่ 3'!G32</f>
        <v>1</v>
      </c>
      <c r="P35" s="494" t="str">
        <f>+'ตารางที่ 3'!H32</f>
        <v>ด้าน</v>
      </c>
      <c r="Q35" s="96">
        <f t="shared" si="0"/>
        <v>27328954.539999999</v>
      </c>
      <c r="R35" s="493">
        <f t="shared" si="7"/>
        <v>0.40486876135416583</v>
      </c>
      <c r="S35" s="493">
        <f t="shared" si="8"/>
        <v>0</v>
      </c>
      <c r="T35" s="493">
        <f t="shared" si="5"/>
        <v>0.40486876135416583</v>
      </c>
    </row>
    <row r="36" spans="1:116" s="194" customFormat="1">
      <c r="A36" s="201" t="s">
        <v>195</v>
      </c>
      <c r="B36" s="96">
        <v>18593416.940000001</v>
      </c>
      <c r="C36" s="96">
        <v>3849168.05</v>
      </c>
      <c r="D36" s="96">
        <v>579950.69999999995</v>
      </c>
      <c r="E36" s="96">
        <v>3300672.28</v>
      </c>
      <c r="F36" s="195">
        <f t="shared" si="1"/>
        <v>26323207.970000003</v>
      </c>
      <c r="G36" s="198">
        <v>1</v>
      </c>
      <c r="H36" s="43" t="s">
        <v>161</v>
      </c>
      <c r="I36" s="96">
        <f t="shared" si="2"/>
        <v>26323207.970000003</v>
      </c>
      <c r="J36" s="96">
        <f>+'ตารางที่ 3'!B33</f>
        <v>22410272.82</v>
      </c>
      <c r="K36" s="96">
        <f>+'ตารางที่ 3'!C33</f>
        <v>2410404.2400000002</v>
      </c>
      <c r="L36" s="96">
        <f>+'ตารางที่ 3'!D33</f>
        <v>0</v>
      </c>
      <c r="M36" s="96">
        <f>+'ตารางที่ 3'!E33</f>
        <v>3421853.4</v>
      </c>
      <c r="N36" s="96">
        <f>+'ตารางที่ 3'!F33</f>
        <v>28242530.460000001</v>
      </c>
      <c r="O36" s="96">
        <f>+'ตารางที่ 3'!G33</f>
        <v>1</v>
      </c>
      <c r="P36" s="494" t="str">
        <f>+'ตารางที่ 3'!H33</f>
        <v>ด้าน</v>
      </c>
      <c r="Q36" s="96">
        <f t="shared" si="0"/>
        <v>28242530.460000001</v>
      </c>
      <c r="R36" s="493">
        <f t="shared" si="7"/>
        <v>7.2913700039425641E-2</v>
      </c>
      <c r="S36" s="493">
        <f t="shared" si="8"/>
        <v>0</v>
      </c>
      <c r="T36" s="493">
        <f t="shared" si="5"/>
        <v>7.2913700039425641E-2</v>
      </c>
    </row>
    <row r="37" spans="1:116" s="194" customFormat="1" ht="21.75" thickBot="1">
      <c r="A37" s="202" t="s">
        <v>196</v>
      </c>
      <c r="B37" s="203">
        <v>6024589.3200000003</v>
      </c>
      <c r="C37" s="203">
        <v>1247197.1399999999</v>
      </c>
      <c r="D37" s="203">
        <v>187914.08</v>
      </c>
      <c r="E37" s="203">
        <v>1069475.02</v>
      </c>
      <c r="F37" s="195">
        <f t="shared" si="1"/>
        <v>8529175.5600000005</v>
      </c>
      <c r="G37" s="204">
        <v>14561</v>
      </c>
      <c r="H37" s="43" t="s">
        <v>162</v>
      </c>
      <c r="I37" s="96">
        <f t="shared" si="2"/>
        <v>585.75479431357735</v>
      </c>
      <c r="J37" s="96">
        <f>+'ตารางที่ 3'!B34</f>
        <v>7546812.1900000004</v>
      </c>
      <c r="K37" s="96">
        <f>+'ตารางที่ 3'!C34</f>
        <v>811720.07</v>
      </c>
      <c r="L37" s="96">
        <f>+'ตารางที่ 3'!D34</f>
        <v>0</v>
      </c>
      <c r="M37" s="96">
        <f>+'ตารางที่ 3'!E34</f>
        <v>1152332.47</v>
      </c>
      <c r="N37" s="96">
        <f>+'ตารางที่ 3'!F34</f>
        <v>9510864.7300000004</v>
      </c>
      <c r="O37" s="96">
        <f>+'ตารางที่ 3'!G34</f>
        <v>17666</v>
      </c>
      <c r="P37" s="494" t="str">
        <f>+'ตารางที่ 3'!H34</f>
        <v>จำนวนนักศึกษา</v>
      </c>
      <c r="Q37" s="203">
        <f t="shared" si="0"/>
        <v>538.37114966602519</v>
      </c>
      <c r="R37" s="493">
        <f t="shared" si="7"/>
        <v>0.11509777974367312</v>
      </c>
      <c r="S37" s="493">
        <f t="shared" si="8"/>
        <v>0.21324084884279926</v>
      </c>
      <c r="T37" s="493">
        <f t="shared" si="5"/>
        <v>-8.0893310831675155E-2</v>
      </c>
    </row>
    <row r="38" spans="1:116" s="194" customFormat="1" ht="22.5" thickTop="1" thickBot="1">
      <c r="A38" s="106"/>
      <c r="B38" s="205">
        <f>SUM(B7:B37)</f>
        <v>797717261.88000035</v>
      </c>
      <c r="C38" s="205">
        <f>SUM(C7:C37)</f>
        <v>211919207.69000003</v>
      </c>
      <c r="D38" s="205">
        <f>SUM(D7:D37)</f>
        <v>12381364.060000001</v>
      </c>
      <c r="E38" s="205">
        <f>SUM(E7:E37)</f>
        <v>228755092.76000002</v>
      </c>
      <c r="F38" s="195">
        <f t="shared" si="1"/>
        <v>1250772926.3900003</v>
      </c>
      <c r="G38" s="570"/>
      <c r="H38" s="571"/>
      <c r="I38" s="572"/>
      <c r="J38" s="499">
        <f>SUM(J7:J37)</f>
        <v>869171922.94999981</v>
      </c>
      <c r="K38" s="499">
        <f t="shared" ref="K38:L38" si="9">SUM(K7:K37)</f>
        <v>164932546.28</v>
      </c>
      <c r="L38" s="499">
        <f t="shared" si="9"/>
        <v>9963717.0500000007</v>
      </c>
      <c r="M38" s="499">
        <f>SUM(M7:M37)</f>
        <v>246376807.04999998</v>
      </c>
      <c r="N38" s="499">
        <f>SUM(N7:N37)</f>
        <v>1290444993.3299997</v>
      </c>
      <c r="O38" s="569"/>
      <c r="P38" s="569"/>
      <c r="Q38" s="569"/>
      <c r="R38" s="569"/>
      <c r="S38" s="569"/>
      <c r="T38" s="569"/>
    </row>
    <row r="39" spans="1:116" s="185" customFormat="1" ht="40.5" customHeight="1" thickTop="1">
      <c r="A39" s="193" t="s">
        <v>417</v>
      </c>
      <c r="G39" s="192"/>
      <c r="H39" s="193"/>
      <c r="I39" s="192"/>
      <c r="J39" s="294"/>
      <c r="K39" s="294"/>
      <c r="L39" s="294"/>
      <c r="M39" s="294"/>
      <c r="N39" s="294"/>
      <c r="O39" s="490"/>
      <c r="P39" s="491"/>
      <c r="Q39" s="490"/>
      <c r="R39" s="478"/>
      <c r="S39" s="478"/>
      <c r="T39" s="478"/>
      <c r="U39" s="184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4"/>
      <c r="AK39" s="184"/>
      <c r="AL39" s="184"/>
      <c r="AM39" s="184"/>
      <c r="AN39" s="184"/>
      <c r="AO39" s="184"/>
      <c r="AP39" s="184"/>
      <c r="AQ39" s="184"/>
      <c r="AR39" s="184"/>
      <c r="AS39" s="184"/>
      <c r="AT39" s="184"/>
      <c r="AU39" s="184"/>
      <c r="AV39" s="184"/>
      <c r="AW39" s="184"/>
      <c r="AX39" s="184"/>
      <c r="AY39" s="184"/>
      <c r="AZ39" s="184"/>
      <c r="BA39" s="184"/>
      <c r="BB39" s="184"/>
      <c r="BC39" s="184"/>
      <c r="BD39" s="184"/>
      <c r="BE39" s="184"/>
      <c r="BF39" s="184"/>
      <c r="BG39" s="184"/>
      <c r="BH39" s="184"/>
      <c r="BI39" s="184"/>
      <c r="BJ39" s="184"/>
      <c r="BK39" s="184"/>
      <c r="BL39" s="184"/>
      <c r="BM39" s="184"/>
      <c r="BN39" s="184"/>
      <c r="BO39" s="184"/>
      <c r="BP39" s="184"/>
      <c r="BQ39" s="184"/>
      <c r="BR39" s="184"/>
      <c r="BS39" s="184"/>
      <c r="BT39" s="184"/>
      <c r="BU39" s="184"/>
      <c r="BV39" s="184"/>
      <c r="BW39" s="184"/>
      <c r="BX39" s="184"/>
      <c r="BY39" s="184"/>
      <c r="BZ39" s="184"/>
      <c r="CA39" s="184"/>
      <c r="CB39" s="184"/>
      <c r="CC39" s="184"/>
      <c r="CD39" s="184"/>
      <c r="CE39" s="184"/>
      <c r="CF39" s="184"/>
      <c r="CG39" s="184"/>
      <c r="CH39" s="184"/>
      <c r="CI39" s="184"/>
      <c r="CJ39" s="184"/>
      <c r="CK39" s="184"/>
      <c r="CL39" s="184"/>
      <c r="CM39" s="184"/>
      <c r="CN39" s="184"/>
      <c r="CO39" s="184"/>
      <c r="CP39" s="184"/>
      <c r="CQ39" s="184"/>
      <c r="CR39" s="184"/>
      <c r="CS39" s="184"/>
      <c r="CT39" s="184"/>
      <c r="CU39" s="184"/>
      <c r="CV39" s="184"/>
      <c r="CW39" s="184"/>
      <c r="CX39" s="184"/>
      <c r="CY39" s="184"/>
      <c r="CZ39" s="184"/>
      <c r="DA39" s="184"/>
      <c r="DB39" s="184"/>
      <c r="DC39" s="184"/>
      <c r="DD39" s="184"/>
      <c r="DE39" s="184"/>
      <c r="DF39" s="184"/>
      <c r="DG39" s="184"/>
      <c r="DH39" s="184"/>
      <c r="DI39" s="184"/>
      <c r="DJ39" s="184"/>
      <c r="DK39" s="184"/>
      <c r="DL39" s="184"/>
    </row>
    <row r="40" spans="1:116" s="207" customFormat="1" ht="35.25" customHeight="1">
      <c r="A40" s="592" t="s">
        <v>165</v>
      </c>
      <c r="B40" s="592"/>
      <c r="C40" s="592"/>
      <c r="D40" s="592"/>
      <c r="E40" s="592"/>
      <c r="F40" s="592"/>
      <c r="G40" s="592"/>
      <c r="H40" s="592"/>
      <c r="I40" s="592"/>
      <c r="J40" s="592"/>
      <c r="K40" s="592"/>
      <c r="L40" s="292"/>
      <c r="M40" s="292"/>
      <c r="N40" s="292"/>
      <c r="O40" s="480"/>
      <c r="P40" s="480"/>
      <c r="Q40" s="480"/>
      <c r="R40" s="480"/>
      <c r="S40" s="480"/>
      <c r="T40" s="480"/>
      <c r="U40" s="206"/>
      <c r="V40" s="206"/>
      <c r="W40" s="206"/>
      <c r="X40" s="206"/>
      <c r="Y40" s="206"/>
      <c r="Z40" s="206"/>
      <c r="AA40" s="206"/>
      <c r="AB40" s="206"/>
      <c r="AC40" s="206"/>
      <c r="AD40" s="206"/>
      <c r="AE40" s="206"/>
      <c r="AF40" s="206"/>
      <c r="AG40" s="206"/>
      <c r="AH40" s="206"/>
      <c r="AI40" s="206"/>
      <c r="AJ40" s="206"/>
      <c r="AK40" s="206"/>
      <c r="AL40" s="206"/>
      <c r="AM40" s="206"/>
      <c r="AN40" s="206"/>
      <c r="AO40" s="206"/>
      <c r="AP40" s="206"/>
      <c r="AQ40" s="206"/>
      <c r="AR40" s="206"/>
      <c r="AS40" s="206"/>
      <c r="AT40" s="206"/>
      <c r="AU40" s="206"/>
      <c r="AV40" s="206"/>
      <c r="AW40" s="206"/>
      <c r="AX40" s="206"/>
      <c r="AY40" s="206"/>
      <c r="AZ40" s="206"/>
      <c r="BA40" s="206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  <c r="BZ40" s="206"/>
      <c r="CA40" s="206"/>
      <c r="CB40" s="206"/>
      <c r="CC40" s="206"/>
      <c r="CD40" s="206"/>
      <c r="CE40" s="206"/>
      <c r="CF40" s="206"/>
      <c r="CG40" s="206"/>
      <c r="CH40" s="206"/>
      <c r="CI40" s="206"/>
      <c r="CJ40" s="206"/>
      <c r="CK40" s="206"/>
      <c r="CL40" s="206"/>
      <c r="CM40" s="206"/>
      <c r="CN40" s="206"/>
      <c r="CO40" s="206"/>
      <c r="CP40" s="206"/>
      <c r="CQ40" s="206"/>
      <c r="CR40" s="206"/>
      <c r="CS40" s="206"/>
      <c r="CT40" s="206"/>
      <c r="CU40" s="206"/>
      <c r="CV40" s="206"/>
      <c r="CW40" s="206"/>
      <c r="CX40" s="206"/>
      <c r="CY40" s="206"/>
      <c r="CZ40" s="206"/>
      <c r="DA40" s="206"/>
      <c r="DB40" s="206"/>
      <c r="DC40" s="206"/>
      <c r="DD40" s="206"/>
      <c r="DE40" s="206"/>
      <c r="DF40" s="206"/>
      <c r="DG40" s="206"/>
      <c r="DH40" s="206"/>
      <c r="DI40" s="206"/>
      <c r="DJ40" s="206"/>
      <c r="DK40" s="206"/>
      <c r="DL40" s="206"/>
    </row>
    <row r="41" spans="1:116" s="207" customFormat="1" ht="37.5" customHeight="1">
      <c r="A41" s="573" t="s">
        <v>510</v>
      </c>
      <c r="B41" s="574"/>
      <c r="C41" s="574"/>
      <c r="D41" s="574"/>
      <c r="E41" s="574"/>
      <c r="F41" s="574"/>
      <c r="G41" s="574"/>
      <c r="H41" s="574"/>
      <c r="I41" s="574"/>
      <c r="J41" s="574"/>
      <c r="K41" s="574"/>
      <c r="L41" s="574"/>
      <c r="M41" s="574"/>
      <c r="N41" s="574"/>
      <c r="O41" s="574"/>
      <c r="P41" s="574"/>
      <c r="Q41" s="574"/>
      <c r="R41" s="574"/>
      <c r="S41" s="574"/>
      <c r="T41" s="574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206"/>
      <c r="AK41" s="206"/>
      <c r="AL41" s="206"/>
      <c r="AM41" s="206"/>
      <c r="AN41" s="206"/>
      <c r="AO41" s="206"/>
      <c r="AP41" s="206"/>
      <c r="AQ41" s="206"/>
      <c r="AR41" s="206"/>
      <c r="AS41" s="206"/>
      <c r="AT41" s="206"/>
      <c r="AU41" s="206"/>
      <c r="AV41" s="206"/>
      <c r="AW41" s="206"/>
      <c r="AX41" s="206"/>
      <c r="AY41" s="206"/>
      <c r="AZ41" s="206"/>
      <c r="BA41" s="206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  <c r="BZ41" s="206"/>
      <c r="CA41" s="206"/>
      <c r="CB41" s="206"/>
      <c r="CC41" s="206"/>
      <c r="CD41" s="206"/>
      <c r="CE41" s="206"/>
      <c r="CF41" s="206"/>
      <c r="CG41" s="206"/>
      <c r="CH41" s="206"/>
      <c r="CI41" s="206"/>
      <c r="CJ41" s="206"/>
      <c r="CK41" s="206"/>
      <c r="CL41" s="206"/>
      <c r="CM41" s="206"/>
      <c r="CN41" s="206"/>
      <c r="CO41" s="206"/>
      <c r="CP41" s="206"/>
      <c r="CQ41" s="206"/>
      <c r="CR41" s="206"/>
      <c r="CS41" s="206"/>
      <c r="CT41" s="206"/>
      <c r="CU41" s="206"/>
      <c r="CV41" s="206"/>
      <c r="CW41" s="206"/>
      <c r="CX41" s="206"/>
      <c r="CY41" s="206"/>
      <c r="CZ41" s="206"/>
      <c r="DA41" s="206"/>
      <c r="DB41" s="206"/>
      <c r="DC41" s="206"/>
      <c r="DD41" s="206"/>
      <c r="DE41" s="206"/>
      <c r="DF41" s="206"/>
      <c r="DG41" s="206"/>
      <c r="DH41" s="206"/>
      <c r="DI41" s="206"/>
      <c r="DJ41" s="206"/>
      <c r="DK41" s="206"/>
      <c r="DL41" s="206"/>
    </row>
    <row r="42" spans="1:116" s="207" customFormat="1" ht="35.25" customHeight="1">
      <c r="A42" s="591" t="s">
        <v>511</v>
      </c>
      <c r="B42" s="591"/>
      <c r="C42" s="591"/>
      <c r="D42" s="591"/>
      <c r="E42" s="591"/>
      <c r="F42" s="591"/>
      <c r="G42" s="591"/>
      <c r="H42" s="591"/>
      <c r="I42" s="591"/>
      <c r="J42" s="591"/>
      <c r="K42" s="591"/>
      <c r="L42" s="591"/>
      <c r="M42" s="591"/>
      <c r="N42" s="591"/>
      <c r="O42" s="591"/>
      <c r="P42" s="591"/>
      <c r="Q42" s="591"/>
      <c r="R42" s="591"/>
      <c r="S42" s="591"/>
      <c r="T42" s="591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206"/>
      <c r="AZ42" s="206"/>
      <c r="BA42" s="206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  <c r="BZ42" s="206"/>
      <c r="CA42" s="206"/>
      <c r="CB42" s="206"/>
      <c r="CC42" s="206"/>
      <c r="CD42" s="206"/>
      <c r="CE42" s="206"/>
      <c r="CF42" s="206"/>
      <c r="CG42" s="206"/>
      <c r="CH42" s="206"/>
      <c r="CI42" s="206"/>
      <c r="CJ42" s="206"/>
      <c r="CK42" s="206"/>
      <c r="CL42" s="206"/>
      <c r="CM42" s="206"/>
      <c r="CN42" s="206"/>
      <c r="CO42" s="206"/>
      <c r="CP42" s="206"/>
      <c r="CQ42" s="206"/>
      <c r="CR42" s="206"/>
      <c r="CS42" s="206"/>
      <c r="CT42" s="206"/>
      <c r="CU42" s="206"/>
      <c r="CV42" s="206"/>
      <c r="CW42" s="206"/>
      <c r="CX42" s="206"/>
      <c r="CY42" s="206"/>
      <c r="CZ42" s="206"/>
      <c r="DA42" s="206"/>
      <c r="DB42" s="206"/>
      <c r="DC42" s="206"/>
      <c r="DD42" s="206"/>
      <c r="DE42" s="206"/>
      <c r="DF42" s="206"/>
      <c r="DG42" s="206"/>
      <c r="DH42" s="206"/>
      <c r="DI42" s="206"/>
      <c r="DJ42" s="206"/>
      <c r="DK42" s="206"/>
      <c r="DL42" s="206"/>
    </row>
    <row r="43" spans="1:116" s="207" customFormat="1" ht="35.25" customHeight="1">
      <c r="A43" s="590" t="s">
        <v>512</v>
      </c>
      <c r="B43" s="590"/>
      <c r="C43" s="590"/>
      <c r="D43" s="590"/>
      <c r="E43" s="590"/>
      <c r="F43" s="590"/>
      <c r="G43" s="590"/>
      <c r="H43" s="590"/>
      <c r="I43" s="590"/>
      <c r="J43" s="591"/>
      <c r="K43" s="591"/>
      <c r="L43" s="591"/>
      <c r="M43" s="591"/>
      <c r="N43" s="591"/>
      <c r="O43" s="591"/>
      <c r="P43" s="591"/>
      <c r="Q43" s="591"/>
      <c r="R43" s="591"/>
      <c r="S43" s="591"/>
      <c r="T43" s="591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06"/>
      <c r="AJ43" s="206"/>
      <c r="AK43" s="206"/>
      <c r="AL43" s="206"/>
      <c r="AM43" s="206"/>
      <c r="AN43" s="206"/>
      <c r="AO43" s="206"/>
      <c r="AP43" s="206"/>
      <c r="AQ43" s="206"/>
      <c r="AR43" s="206"/>
      <c r="AS43" s="206"/>
      <c r="AT43" s="206"/>
      <c r="AU43" s="206"/>
      <c r="AV43" s="206"/>
      <c r="AW43" s="206"/>
      <c r="AX43" s="206"/>
      <c r="AY43" s="206"/>
      <c r="AZ43" s="206"/>
      <c r="BA43" s="206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  <c r="BZ43" s="206"/>
      <c r="CA43" s="206"/>
      <c r="CB43" s="206"/>
      <c r="CC43" s="206"/>
      <c r="CD43" s="206"/>
      <c r="CE43" s="206"/>
      <c r="CF43" s="206"/>
      <c r="CG43" s="206"/>
      <c r="CH43" s="206"/>
      <c r="CI43" s="206"/>
      <c r="CJ43" s="206"/>
      <c r="CK43" s="206"/>
      <c r="CL43" s="206"/>
      <c r="CM43" s="206"/>
      <c r="CN43" s="206"/>
      <c r="CO43" s="206"/>
      <c r="CP43" s="206"/>
      <c r="CQ43" s="206"/>
      <c r="CR43" s="206"/>
      <c r="CS43" s="206"/>
      <c r="CT43" s="206"/>
      <c r="CU43" s="206"/>
      <c r="CV43" s="206"/>
      <c r="CW43" s="206"/>
      <c r="CX43" s="206"/>
      <c r="CY43" s="206"/>
      <c r="CZ43" s="206"/>
      <c r="DA43" s="206"/>
      <c r="DB43" s="206"/>
      <c r="DC43" s="206"/>
      <c r="DD43" s="206"/>
      <c r="DE43" s="206"/>
      <c r="DF43" s="206"/>
      <c r="DG43" s="206"/>
      <c r="DH43" s="206"/>
      <c r="DI43" s="206"/>
      <c r="DJ43" s="206"/>
      <c r="DK43" s="206"/>
      <c r="DL43" s="206"/>
    </row>
    <row r="44" spans="1:116" s="209" customFormat="1" ht="35.25" customHeight="1">
      <c r="A44" s="590" t="s">
        <v>413</v>
      </c>
      <c r="B44" s="590"/>
      <c r="C44" s="590"/>
      <c r="D44" s="590"/>
      <c r="E44" s="590"/>
      <c r="F44" s="590"/>
      <c r="G44" s="590"/>
      <c r="H44" s="590"/>
      <c r="I44" s="590"/>
      <c r="J44" s="590"/>
      <c r="K44" s="590"/>
      <c r="L44" s="590"/>
      <c r="M44" s="590"/>
      <c r="N44" s="590"/>
      <c r="O44" s="590"/>
      <c r="P44" s="590"/>
      <c r="Q44" s="590"/>
      <c r="R44" s="590"/>
      <c r="S44" s="590"/>
      <c r="T44" s="590"/>
      <c r="U44" s="208"/>
      <c r="V44" s="208"/>
      <c r="W44" s="208"/>
      <c r="X44" s="208"/>
      <c r="Y44" s="208"/>
      <c r="Z44" s="208"/>
      <c r="AA44" s="208"/>
      <c r="AB44" s="208"/>
      <c r="AC44" s="208"/>
      <c r="AD44" s="208"/>
      <c r="AE44" s="208"/>
      <c r="AF44" s="208"/>
      <c r="AG44" s="208"/>
      <c r="AH44" s="208"/>
      <c r="AI44" s="208"/>
      <c r="AJ44" s="208"/>
      <c r="AK44" s="208"/>
      <c r="AL44" s="208"/>
      <c r="AM44" s="208"/>
      <c r="AN44" s="208"/>
      <c r="AO44" s="208"/>
      <c r="AP44" s="208"/>
      <c r="AQ44" s="208"/>
      <c r="AR44" s="208"/>
      <c r="AS44" s="208"/>
      <c r="AT44" s="208"/>
      <c r="AU44" s="208"/>
      <c r="AV44" s="208"/>
      <c r="AW44" s="208"/>
      <c r="AX44" s="208"/>
      <c r="AY44" s="208"/>
      <c r="AZ44" s="208"/>
      <c r="BA44" s="208"/>
      <c r="BB44" s="208"/>
      <c r="BC44" s="208"/>
      <c r="BD44" s="208"/>
      <c r="BE44" s="208"/>
      <c r="BF44" s="208"/>
      <c r="BG44" s="208"/>
      <c r="BH44" s="208"/>
      <c r="BI44" s="208"/>
      <c r="BJ44" s="208"/>
      <c r="BK44" s="208"/>
      <c r="BL44" s="208"/>
      <c r="BM44" s="208"/>
      <c r="BN44" s="208"/>
      <c r="BO44" s="208"/>
      <c r="BP44" s="208"/>
      <c r="BQ44" s="208"/>
      <c r="BR44" s="208"/>
      <c r="BS44" s="208"/>
      <c r="BT44" s="208"/>
      <c r="BU44" s="208"/>
      <c r="BV44" s="208"/>
      <c r="BW44" s="208"/>
      <c r="BX44" s="208"/>
      <c r="BY44" s="208"/>
      <c r="BZ44" s="208"/>
      <c r="CA44" s="208"/>
      <c r="CB44" s="208"/>
      <c r="CC44" s="208"/>
      <c r="CD44" s="208"/>
      <c r="CE44" s="208"/>
      <c r="CF44" s="208"/>
      <c r="CG44" s="208"/>
      <c r="CH44" s="208"/>
      <c r="CI44" s="208"/>
      <c r="CJ44" s="208"/>
      <c r="CK44" s="208"/>
      <c r="CL44" s="208"/>
      <c r="CM44" s="208"/>
      <c r="CN44" s="208"/>
      <c r="CO44" s="208"/>
      <c r="CP44" s="208"/>
      <c r="CQ44" s="208"/>
      <c r="CR44" s="208"/>
      <c r="CS44" s="208"/>
      <c r="CT44" s="208"/>
      <c r="CU44" s="208"/>
      <c r="CV44" s="208"/>
      <c r="CW44" s="208"/>
      <c r="CX44" s="208"/>
      <c r="CY44" s="208"/>
      <c r="CZ44" s="208"/>
      <c r="DA44" s="208"/>
      <c r="DB44" s="208"/>
      <c r="DC44" s="208"/>
      <c r="DD44" s="208"/>
      <c r="DE44" s="208"/>
      <c r="DF44" s="208"/>
      <c r="DG44" s="208"/>
      <c r="DH44" s="208"/>
      <c r="DI44" s="208"/>
      <c r="DJ44" s="208"/>
      <c r="DK44" s="208"/>
      <c r="DL44" s="208"/>
    </row>
    <row r="45" spans="1:116" s="211" customFormat="1" ht="33.75" customHeight="1">
      <c r="A45" s="591" t="s">
        <v>513</v>
      </c>
      <c r="B45" s="591"/>
      <c r="C45" s="591"/>
      <c r="D45" s="591"/>
      <c r="E45" s="591"/>
      <c r="F45" s="591"/>
      <c r="G45" s="591"/>
      <c r="H45" s="591"/>
      <c r="I45" s="591"/>
      <c r="J45" s="591"/>
      <c r="K45" s="591"/>
      <c r="L45" s="591"/>
      <c r="M45" s="591"/>
      <c r="N45" s="591"/>
      <c r="O45" s="591"/>
      <c r="P45" s="591"/>
      <c r="Q45" s="591"/>
      <c r="R45" s="591"/>
      <c r="S45" s="591"/>
      <c r="T45" s="591"/>
      <c r="U45" s="210"/>
      <c r="V45" s="210"/>
      <c r="W45" s="210"/>
      <c r="X45" s="210"/>
      <c r="Y45" s="210"/>
      <c r="Z45" s="210"/>
      <c r="AA45" s="210"/>
      <c r="AB45" s="210"/>
      <c r="AC45" s="210"/>
      <c r="AD45" s="210"/>
      <c r="AE45" s="210"/>
      <c r="AF45" s="210"/>
      <c r="AG45" s="210"/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  <c r="BI45" s="210"/>
      <c r="BJ45" s="210"/>
      <c r="BK45" s="210"/>
      <c r="BL45" s="210"/>
      <c r="BM45" s="210"/>
      <c r="BN45" s="210"/>
      <c r="BO45" s="210"/>
      <c r="BP45" s="210"/>
      <c r="BQ45" s="210"/>
      <c r="BR45" s="210"/>
      <c r="BS45" s="210"/>
      <c r="BT45" s="210"/>
      <c r="BU45" s="210"/>
      <c r="BV45" s="210"/>
      <c r="BW45" s="210"/>
      <c r="BX45" s="210"/>
      <c r="BY45" s="210"/>
      <c r="BZ45" s="210"/>
      <c r="CA45" s="210"/>
      <c r="CB45" s="210"/>
      <c r="CC45" s="210"/>
      <c r="CD45" s="210"/>
      <c r="CE45" s="210"/>
      <c r="CF45" s="210"/>
      <c r="CG45" s="210"/>
      <c r="CH45" s="210"/>
      <c r="CI45" s="210"/>
      <c r="CJ45" s="210"/>
      <c r="CK45" s="210"/>
      <c r="CL45" s="210"/>
      <c r="CM45" s="210"/>
      <c r="CN45" s="210"/>
      <c r="CO45" s="210"/>
      <c r="CP45" s="210"/>
      <c r="CQ45" s="210"/>
      <c r="CR45" s="210"/>
      <c r="CS45" s="210"/>
      <c r="CT45" s="210"/>
      <c r="CU45" s="210"/>
      <c r="CV45" s="210"/>
      <c r="CW45" s="210"/>
      <c r="CX45" s="210"/>
      <c r="CY45" s="210"/>
      <c r="CZ45" s="210"/>
      <c r="DA45" s="210"/>
      <c r="DB45" s="210"/>
      <c r="DC45" s="210"/>
      <c r="DD45" s="210"/>
      <c r="DE45" s="210"/>
      <c r="DF45" s="210"/>
      <c r="DG45" s="210"/>
      <c r="DH45" s="210"/>
      <c r="DI45" s="210"/>
      <c r="DJ45" s="210"/>
      <c r="DK45" s="210"/>
      <c r="DL45" s="210"/>
    </row>
  </sheetData>
  <mergeCells count="20">
    <mergeCell ref="A44:T44"/>
    <mergeCell ref="A43:T43"/>
    <mergeCell ref="A45:T45"/>
    <mergeCell ref="A42:T42"/>
    <mergeCell ref="A40:K40"/>
    <mergeCell ref="O38:T38"/>
    <mergeCell ref="G38:I38"/>
    <mergeCell ref="A41:T41"/>
    <mergeCell ref="A1:T1"/>
    <mergeCell ref="R5:T5"/>
    <mergeCell ref="O6:P6"/>
    <mergeCell ref="J5:Q5"/>
    <mergeCell ref="A5:A6"/>
    <mergeCell ref="B5:I5"/>
    <mergeCell ref="G6:H6"/>
    <mergeCell ref="A4:D4"/>
    <mergeCell ref="B25:I25"/>
    <mergeCell ref="R25:T25"/>
    <mergeCell ref="J24:Q24"/>
    <mergeCell ref="R24:T24"/>
  </mergeCells>
  <phoneticPr fontId="3" type="noConversion"/>
  <printOptions horizontalCentered="1" verticalCentered="1"/>
  <pageMargins left="0.16" right="0.15" top="0.55118110236220474" bottom="0.31496062992125984" header="0.43307086614173229" footer="0.23622047244094491"/>
  <pageSetup paperSize="9" scale="4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V44"/>
  <sheetViews>
    <sheetView topLeftCell="A31" zoomScale="90" zoomScaleNormal="90" workbookViewId="0">
      <selection activeCell="A41" sqref="A41:T41"/>
    </sheetView>
  </sheetViews>
  <sheetFormatPr defaultRowHeight="18.75"/>
  <cols>
    <col min="1" max="1" width="39.42578125" style="3" customWidth="1"/>
    <col min="2" max="2" width="15.140625" style="3" customWidth="1"/>
    <col min="3" max="3" width="15.5703125" style="3" customWidth="1"/>
    <col min="4" max="4" width="14.28515625" style="3" bestFit="1" customWidth="1"/>
    <col min="5" max="5" width="15.28515625" style="3" bestFit="1" customWidth="1"/>
    <col min="6" max="6" width="16.42578125" style="3" customWidth="1"/>
    <col min="7" max="7" width="9.28515625" style="3" customWidth="1"/>
    <col min="8" max="8" width="9.140625" style="212" customWidth="1"/>
    <col min="9" max="9" width="13.7109375" style="124" customWidth="1"/>
    <col min="10" max="10" width="15.5703125" style="146" customWidth="1"/>
    <col min="11" max="11" width="16" style="3" customWidth="1"/>
    <col min="12" max="12" width="13.42578125" style="3" customWidth="1"/>
    <col min="13" max="13" width="14.85546875" style="3" customWidth="1"/>
    <col min="14" max="14" width="17.140625" style="3" customWidth="1"/>
    <col min="15" max="15" width="9.5703125" style="124" bestFit="1" customWidth="1"/>
    <col min="16" max="16" width="8" style="212" customWidth="1"/>
    <col min="17" max="17" width="12.85546875" style="3" customWidth="1"/>
    <col min="18" max="18" width="11.85546875" style="213" customWidth="1"/>
    <col min="19" max="19" width="11.140625" style="214" customWidth="1"/>
    <col min="20" max="20" width="12.42578125" style="214" customWidth="1"/>
    <col min="21" max="16384" width="9.140625" style="3"/>
  </cols>
  <sheetData>
    <row r="1" spans="1:20" ht="23.25">
      <c r="A1" s="607" t="s">
        <v>37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</row>
    <row r="2" spans="1:20" ht="12.75" customHeight="1">
      <c r="A2" s="120"/>
      <c r="B2" s="120"/>
      <c r="C2" s="120"/>
      <c r="D2" s="120"/>
      <c r="E2" s="120"/>
      <c r="F2" s="120"/>
      <c r="G2" s="120"/>
      <c r="I2" s="441"/>
    </row>
    <row r="3" spans="1:20" ht="23.25">
      <c r="A3" s="143" t="s">
        <v>39</v>
      </c>
      <c r="B3" s="143"/>
      <c r="C3" s="143"/>
      <c r="D3" s="212"/>
      <c r="E3" s="212"/>
      <c r="F3" s="212"/>
      <c r="G3" s="212"/>
      <c r="I3" s="442"/>
    </row>
    <row r="4" spans="1:20" ht="13.5" customHeight="1">
      <c r="A4" s="143"/>
      <c r="B4" s="143"/>
      <c r="C4" s="143"/>
      <c r="D4" s="212"/>
      <c r="E4" s="212"/>
      <c r="F4" s="212"/>
      <c r="G4" s="212"/>
      <c r="I4" s="442"/>
    </row>
    <row r="5" spans="1:20" ht="23.25">
      <c r="A5" s="614" t="s">
        <v>430</v>
      </c>
      <c r="B5" s="614"/>
      <c r="C5" s="614"/>
      <c r="D5" s="614"/>
      <c r="E5" s="440"/>
      <c r="F5" s="215"/>
      <c r="G5" s="215"/>
      <c r="H5" s="216"/>
      <c r="I5" s="217"/>
    </row>
    <row r="6" spans="1:20">
      <c r="A6" s="215"/>
      <c r="B6" s="215"/>
      <c r="C6" s="215"/>
      <c r="D6" s="215"/>
      <c r="E6" s="215"/>
      <c r="F6" s="215"/>
      <c r="G6" s="218"/>
      <c r="H6" s="216"/>
      <c r="I6" s="217"/>
    </row>
    <row r="7" spans="1:20" ht="22.5" customHeight="1">
      <c r="A7" s="611" t="s">
        <v>16</v>
      </c>
      <c r="B7" s="556" t="s">
        <v>202</v>
      </c>
      <c r="C7" s="609"/>
      <c r="D7" s="609"/>
      <c r="E7" s="609"/>
      <c r="F7" s="609"/>
      <c r="G7" s="609"/>
      <c r="H7" s="609"/>
      <c r="I7" s="609"/>
      <c r="J7" s="610" t="s">
        <v>426</v>
      </c>
      <c r="K7" s="611"/>
      <c r="L7" s="611"/>
      <c r="M7" s="611"/>
      <c r="N7" s="611"/>
      <c r="O7" s="611"/>
      <c r="P7" s="611"/>
      <c r="Q7" s="556"/>
      <c r="R7" s="608" t="s">
        <v>33</v>
      </c>
      <c r="S7" s="609"/>
      <c r="T7" s="557"/>
    </row>
    <row r="8" spans="1:20" s="120" customFormat="1" ht="48" customHeight="1">
      <c r="A8" s="611"/>
      <c r="B8" s="439" t="s">
        <v>6</v>
      </c>
      <c r="C8" s="439" t="s">
        <v>7</v>
      </c>
      <c r="D8" s="439" t="s">
        <v>10</v>
      </c>
      <c r="E8" s="439" t="s">
        <v>11</v>
      </c>
      <c r="F8" s="439" t="s">
        <v>12</v>
      </c>
      <c r="G8" s="612" t="s">
        <v>13</v>
      </c>
      <c r="H8" s="613"/>
      <c r="I8" s="117" t="s">
        <v>14</v>
      </c>
      <c r="J8" s="472" t="s">
        <v>6</v>
      </c>
      <c r="K8" s="439" t="s">
        <v>7</v>
      </c>
      <c r="L8" s="439" t="s">
        <v>10</v>
      </c>
      <c r="M8" s="439" t="s">
        <v>11</v>
      </c>
      <c r="N8" s="439" t="s">
        <v>12</v>
      </c>
      <c r="O8" s="612" t="s">
        <v>13</v>
      </c>
      <c r="P8" s="613"/>
      <c r="Q8" s="438" t="s">
        <v>14</v>
      </c>
      <c r="R8" s="473" t="s">
        <v>32</v>
      </c>
      <c r="S8" s="474" t="s">
        <v>31</v>
      </c>
      <c r="T8" s="474" t="s">
        <v>30</v>
      </c>
    </row>
    <row r="9" spans="1:20" s="120" customFormat="1" ht="25.5" customHeight="1">
      <c r="A9" s="101" t="s">
        <v>17</v>
      </c>
      <c r="B9" s="219">
        <v>186067759.80000001</v>
      </c>
      <c r="C9" s="219">
        <v>64080523.789999999</v>
      </c>
      <c r="D9" s="219">
        <v>3105873.53</v>
      </c>
      <c r="E9" s="219">
        <v>40302918.759999998</v>
      </c>
      <c r="F9" s="219">
        <f>SUM(B9:E9)</f>
        <v>293557075.88</v>
      </c>
      <c r="G9" s="220">
        <v>6491.17</v>
      </c>
      <c r="H9" s="118" t="s">
        <v>41</v>
      </c>
      <c r="I9" s="117">
        <f>+F9/G9</f>
        <v>45224.062207583534</v>
      </c>
      <c r="J9" s="436">
        <f>+'ตารางที่ 4'!B6</f>
        <v>178880382.14999998</v>
      </c>
      <c r="K9" s="436">
        <f>+'ตารางที่ 4'!C6</f>
        <v>63565688.370000005</v>
      </c>
      <c r="L9" s="436">
        <f>+'ตารางที่ 4'!D6</f>
        <v>3972810.96</v>
      </c>
      <c r="M9" s="436">
        <f>+'ตารางที่ 4'!E6</f>
        <v>33909882.159999996</v>
      </c>
      <c r="N9" s="436">
        <f>+'ตารางที่ 4'!F6</f>
        <v>280328763.63999999</v>
      </c>
      <c r="O9" s="436">
        <f>+'ตารางที่ 4'!G6</f>
        <v>6540.4100000000008</v>
      </c>
      <c r="P9" s="118" t="s">
        <v>41</v>
      </c>
      <c r="Q9" s="436">
        <f>+N9/O9</f>
        <v>42861.038320227621</v>
      </c>
      <c r="R9" s="475">
        <f>(N9-F9)/F9</f>
        <v>-4.5062147455806743E-2</v>
      </c>
      <c r="S9" s="475">
        <f>(O9-G9)/G9</f>
        <v>7.5856894827898034E-3</v>
      </c>
      <c r="T9" s="476">
        <f>(Q9-I9)/I9</f>
        <v>-5.2251473485715814E-2</v>
      </c>
    </row>
    <row r="10" spans="1:20" s="120" customFormat="1" ht="25.5" customHeight="1">
      <c r="A10" s="101" t="s">
        <v>133</v>
      </c>
      <c r="B10" s="219">
        <v>185190699.18000001</v>
      </c>
      <c r="C10" s="219">
        <v>63684112.689999998</v>
      </c>
      <c r="D10" s="219">
        <v>3080489.9989999998</v>
      </c>
      <c r="E10" s="219">
        <v>39917410.799999997</v>
      </c>
      <c r="F10" s="219">
        <f t="shared" ref="F10:F35" si="0">SUM(B10:E10)</f>
        <v>291872712.66900003</v>
      </c>
      <c r="G10" s="220">
        <v>6436.95</v>
      </c>
      <c r="H10" s="118" t="s">
        <v>41</v>
      </c>
      <c r="I10" s="117">
        <f t="shared" ref="I10:I35" si="1">+F10/G10</f>
        <v>45343.324504462522</v>
      </c>
      <c r="J10" s="436">
        <f>+'ตารางที่ 4'!B7</f>
        <v>178385325.45999998</v>
      </c>
      <c r="K10" s="436">
        <f>+'ตารางที่ 4'!C7</f>
        <v>63255394.900000006</v>
      </c>
      <c r="L10" s="436">
        <f>+'ตารางที่ 4'!D7</f>
        <v>3940645.21</v>
      </c>
      <c r="M10" s="436">
        <f>+'ตารางที่ 4'!E7</f>
        <v>33661849.109999999</v>
      </c>
      <c r="N10" s="436">
        <f>+'ตารางที่ 4'!F7</f>
        <v>279243214.68000001</v>
      </c>
      <c r="O10" s="436">
        <f>+'ตารางที่ 4'!G7</f>
        <v>6503.35</v>
      </c>
      <c r="P10" s="118" t="s">
        <v>41</v>
      </c>
      <c r="Q10" s="436">
        <f t="shared" ref="Q10:Q32" si="2">+N10/O10</f>
        <v>42938.364793529487</v>
      </c>
      <c r="R10" s="475">
        <f t="shared" ref="R10:R35" si="3">(N10-F10)/F10</f>
        <v>-4.3270567753699467E-2</v>
      </c>
      <c r="S10" s="475">
        <f t="shared" ref="S10:S32" si="4">(O10-G10)/G10</f>
        <v>1.0315444426320004E-2</v>
      </c>
      <c r="T10" s="476">
        <f t="shared" ref="T10:T35" si="5">(Q10-I10)/I10</f>
        <v>-5.3038892432696418E-2</v>
      </c>
    </row>
    <row r="11" spans="1:20" s="120" customFormat="1" ht="25.5" customHeight="1">
      <c r="A11" s="101" t="s">
        <v>29</v>
      </c>
      <c r="B11" s="221">
        <v>110067308.8</v>
      </c>
      <c r="C11" s="221">
        <v>52646486.079999998</v>
      </c>
      <c r="D11" s="221">
        <v>2484073.58</v>
      </c>
      <c r="E11" s="221">
        <v>23501723.039999999</v>
      </c>
      <c r="F11" s="219">
        <f t="shared" si="0"/>
        <v>188699591.5</v>
      </c>
      <c r="G11" s="222">
        <v>5190.46</v>
      </c>
      <c r="H11" s="118" t="s">
        <v>41</v>
      </c>
      <c r="I11" s="117">
        <f t="shared" si="1"/>
        <v>36355.080570893522</v>
      </c>
      <c r="J11" s="436">
        <f>+'ตารางที่ 4'!B8</f>
        <v>125440829.63</v>
      </c>
      <c r="K11" s="436">
        <f>+'ตารางที่ 4'!C8</f>
        <v>46916302.270000003</v>
      </c>
      <c r="L11" s="436">
        <f>+'ตารางที่ 4'!D8</f>
        <v>2926723.25</v>
      </c>
      <c r="M11" s="436">
        <f>+'ตารางที่ 4'!E8</f>
        <v>21937403.579999998</v>
      </c>
      <c r="N11" s="436">
        <f>+'ตารางที่ 4'!F8</f>
        <v>197221258.73000002</v>
      </c>
      <c r="O11" s="436">
        <f>+'ตารางที่ 4'!G8</f>
        <v>5262.5700000000006</v>
      </c>
      <c r="P11" s="118" t="s">
        <v>41</v>
      </c>
      <c r="Q11" s="436">
        <f t="shared" si="2"/>
        <v>37476.225253060766</v>
      </c>
      <c r="R11" s="522">
        <f t="shared" si="3"/>
        <v>4.5159966496270972E-2</v>
      </c>
      <c r="S11" s="522">
        <f t="shared" si="4"/>
        <v>1.3892795628903909E-2</v>
      </c>
      <c r="T11" s="476">
        <f t="shared" si="5"/>
        <v>3.0838734629702633E-2</v>
      </c>
    </row>
    <row r="12" spans="1:20" s="120" customFormat="1" ht="25.5" customHeight="1">
      <c r="A12" s="101" t="s">
        <v>27</v>
      </c>
      <c r="B12" s="223">
        <v>75123390.379999995</v>
      </c>
      <c r="C12" s="223">
        <v>11037626.609999999</v>
      </c>
      <c r="D12" s="223">
        <v>596416.41</v>
      </c>
      <c r="E12" s="223">
        <v>16415687.76</v>
      </c>
      <c r="F12" s="219">
        <f t="shared" si="0"/>
        <v>103173121.16</v>
      </c>
      <c r="G12" s="222">
        <v>1246.49</v>
      </c>
      <c r="H12" s="118" t="s">
        <v>41</v>
      </c>
      <c r="I12" s="117">
        <f t="shared" si="1"/>
        <v>82770.917664802764</v>
      </c>
      <c r="J12" s="436">
        <f>+'ตารางที่ 4'!B9</f>
        <v>52944495.829999998</v>
      </c>
      <c r="K12" s="436">
        <f>+'ตารางที่ 4'!C9</f>
        <v>16339092.630000001</v>
      </c>
      <c r="L12" s="436">
        <f>+'ตารางที่ 4'!D9</f>
        <v>1013921.96</v>
      </c>
      <c r="M12" s="436">
        <f>+'ตารางที่ 4'!E9</f>
        <v>11724445.529999999</v>
      </c>
      <c r="N12" s="436">
        <f>+'ตารางที่ 4'!F9</f>
        <v>82021955.949999988</v>
      </c>
      <c r="O12" s="436">
        <f>+'ตารางที่ 4'!G9</f>
        <v>1240.78</v>
      </c>
      <c r="P12" s="118" t="s">
        <v>41</v>
      </c>
      <c r="Q12" s="436">
        <f t="shared" si="2"/>
        <v>66105.156393558878</v>
      </c>
      <c r="R12" s="522">
        <f t="shared" si="3"/>
        <v>-0.20500654600919713</v>
      </c>
      <c r="S12" s="522">
        <f t="shared" si="4"/>
        <v>-4.5808630634822873E-3</v>
      </c>
      <c r="T12" s="523">
        <f t="shared" si="5"/>
        <v>-0.20134803070246471</v>
      </c>
    </row>
    <row r="13" spans="1:20" s="120" customFormat="1" ht="25.5" customHeight="1">
      <c r="A13" s="101" t="s">
        <v>134</v>
      </c>
      <c r="B13" s="219">
        <v>877060.62</v>
      </c>
      <c r="C13" s="219">
        <v>396411.1</v>
      </c>
      <c r="D13" s="219">
        <v>25383.54</v>
      </c>
      <c r="E13" s="219">
        <v>385507.96</v>
      </c>
      <c r="F13" s="219">
        <f t="shared" si="0"/>
        <v>1684363.22</v>
      </c>
      <c r="G13" s="220">
        <v>54.22</v>
      </c>
      <c r="H13" s="118" t="s">
        <v>41</v>
      </c>
      <c r="I13" s="117">
        <f t="shared" si="1"/>
        <v>31065.348948727406</v>
      </c>
      <c r="J13" s="436">
        <f>+'ตารางที่ 4'!B10</f>
        <v>495056.69</v>
      </c>
      <c r="K13" s="436">
        <f>+'ตารางที่ 4'!C10</f>
        <v>310293.46999999997</v>
      </c>
      <c r="L13" s="436">
        <f>+'ตารางที่ 4'!D10</f>
        <v>32165.75</v>
      </c>
      <c r="M13" s="436">
        <f>+'ตารางที่ 4'!E10</f>
        <v>248033.05</v>
      </c>
      <c r="N13" s="436">
        <f>+'ตารางที่ 4'!F10</f>
        <v>1085548.96</v>
      </c>
      <c r="O13" s="436">
        <f>+'ตารางที่ 4'!G10</f>
        <v>37.06</v>
      </c>
      <c r="P13" s="118" t="s">
        <v>41</v>
      </c>
      <c r="Q13" s="436">
        <f t="shared" si="2"/>
        <v>29291.661090124122</v>
      </c>
      <c r="R13" s="522">
        <f t="shared" si="3"/>
        <v>-0.35551373533316644</v>
      </c>
      <c r="S13" s="522">
        <f t="shared" si="4"/>
        <v>-0.31648838067133894</v>
      </c>
      <c r="T13" s="476">
        <f t="shared" si="5"/>
        <v>-5.7095378568922939E-2</v>
      </c>
    </row>
    <row r="14" spans="1:20" s="120" customFormat="1" ht="25.5" customHeight="1">
      <c r="A14" s="101" t="s">
        <v>29</v>
      </c>
      <c r="B14" s="223">
        <v>577060.62</v>
      </c>
      <c r="C14" s="223">
        <v>396411.1</v>
      </c>
      <c r="D14" s="223">
        <v>25383.54</v>
      </c>
      <c r="E14" s="223">
        <v>385507.96</v>
      </c>
      <c r="F14" s="219">
        <f t="shared" si="0"/>
        <v>1384363.22</v>
      </c>
      <c r="G14" s="222">
        <v>54.22</v>
      </c>
      <c r="H14" s="118" t="s">
        <v>41</v>
      </c>
      <c r="I14" s="117">
        <f t="shared" si="1"/>
        <v>25532.335300627074</v>
      </c>
      <c r="J14" s="436">
        <f>+'ตารางที่ 4'!B11</f>
        <v>495056.69</v>
      </c>
      <c r="K14" s="436">
        <f>+'ตารางที่ 4'!C11</f>
        <v>310293.46999999997</v>
      </c>
      <c r="L14" s="436">
        <f>+'ตารางที่ 4'!D11</f>
        <v>32165.75</v>
      </c>
      <c r="M14" s="436">
        <f>+'ตารางที่ 4'!E11</f>
        <v>248033.05</v>
      </c>
      <c r="N14" s="436">
        <f>+'ตารางที่ 4'!F11</f>
        <v>1085548.96</v>
      </c>
      <c r="O14" s="436">
        <f>+'ตารางที่ 4'!G11</f>
        <v>37.06</v>
      </c>
      <c r="P14" s="118" t="s">
        <v>41</v>
      </c>
      <c r="Q14" s="436">
        <f t="shared" si="2"/>
        <v>29291.661090124122</v>
      </c>
      <c r="R14" s="522">
        <f t="shared" si="3"/>
        <v>-0.21584960917987983</v>
      </c>
      <c r="S14" s="522">
        <f t="shared" si="4"/>
        <v>-0.31648838067133894</v>
      </c>
      <c r="T14" s="476">
        <f t="shared" si="5"/>
        <v>0.14723783567908572</v>
      </c>
    </row>
    <row r="15" spans="1:20" s="120" customFormat="1" ht="25.5" customHeight="1">
      <c r="A15" s="101" t="s">
        <v>34</v>
      </c>
      <c r="B15" s="219">
        <v>554738078.74000001</v>
      </c>
      <c r="C15" s="219">
        <v>141623388.50999999</v>
      </c>
      <c r="D15" s="219">
        <v>9275490.5299999993</v>
      </c>
      <c r="E15" s="219">
        <v>176529690.59999999</v>
      </c>
      <c r="F15" s="219">
        <f t="shared" si="0"/>
        <v>882166648.38</v>
      </c>
      <c r="G15" s="220">
        <v>7589.51</v>
      </c>
      <c r="H15" s="118" t="s">
        <v>41</v>
      </c>
      <c r="I15" s="117">
        <f t="shared" si="1"/>
        <v>116234.99387707506</v>
      </c>
      <c r="J15" s="436">
        <f>+'ตารางที่ 4'!B12</f>
        <v>627070378.51999998</v>
      </c>
      <c r="K15" s="436">
        <f>+'ตารางที่ 4'!C12</f>
        <v>93968641.909999996</v>
      </c>
      <c r="L15" s="436">
        <f>+'ตารางที่ 4'!D12</f>
        <v>5990906.0799999991</v>
      </c>
      <c r="M15" s="436">
        <f>+'ตารางที่ 4'!E12</f>
        <v>193853689.77000001</v>
      </c>
      <c r="N15" s="436">
        <f>+'ตารางที่ 4'!F12</f>
        <v>920883616.27999985</v>
      </c>
      <c r="O15" s="436">
        <f>+'ตารางที่ 4'!G12</f>
        <v>7331.33</v>
      </c>
      <c r="P15" s="118" t="s">
        <v>41</v>
      </c>
      <c r="Q15" s="436">
        <f t="shared" si="2"/>
        <v>125609.35277500807</v>
      </c>
      <c r="R15" s="522">
        <f t="shared" si="3"/>
        <v>4.388849654552144E-2</v>
      </c>
      <c r="S15" s="522">
        <f t="shared" si="4"/>
        <v>-3.4018006432562878E-2</v>
      </c>
      <c r="T15" s="476">
        <f t="shared" si="5"/>
        <v>8.0650057140682713E-2</v>
      </c>
    </row>
    <row r="16" spans="1:20" s="120" customFormat="1" ht="25.5" customHeight="1">
      <c r="A16" s="101" t="s">
        <v>135</v>
      </c>
      <c r="B16" s="219">
        <v>29351011.530000001</v>
      </c>
      <c r="C16" s="219">
        <v>4578785.05</v>
      </c>
      <c r="D16" s="219">
        <v>406980.83</v>
      </c>
      <c r="E16" s="219">
        <v>7661170.5599999996</v>
      </c>
      <c r="F16" s="219">
        <f t="shared" si="0"/>
        <v>41997947.969999999</v>
      </c>
      <c r="G16" s="220">
        <v>361</v>
      </c>
      <c r="H16" s="118" t="s">
        <v>41</v>
      </c>
      <c r="I16" s="117">
        <f t="shared" si="1"/>
        <v>116337.80601108033</v>
      </c>
      <c r="J16" s="436">
        <f>+'ตารางที่ 4'!B13</f>
        <v>37075259.409999996</v>
      </c>
      <c r="K16" s="436">
        <f>+'ตารางที่ 4'!C13</f>
        <v>3807135.66</v>
      </c>
      <c r="L16" s="436">
        <f>+'ตารางที่ 4'!D13</f>
        <v>317152.5</v>
      </c>
      <c r="M16" s="436">
        <f>+'ตารางที่ 4'!E13</f>
        <v>9365488.0800000001</v>
      </c>
      <c r="N16" s="436">
        <f>+'ตารางที่ 4'!F13</f>
        <v>50565035.649999991</v>
      </c>
      <c r="O16" s="436">
        <f>+'ตารางที่ 4'!G13</f>
        <v>425.25</v>
      </c>
      <c r="P16" s="118" t="s">
        <v>41</v>
      </c>
      <c r="Q16" s="436">
        <f t="shared" si="2"/>
        <v>118906.60940623161</v>
      </c>
      <c r="R16" s="475">
        <f t="shared" si="3"/>
        <v>0.20398824452374767</v>
      </c>
      <c r="S16" s="475">
        <f t="shared" si="4"/>
        <v>0.17797783933518005</v>
      </c>
      <c r="T16" s="476">
        <f t="shared" si="5"/>
        <v>2.2080555609812834E-2</v>
      </c>
    </row>
    <row r="17" spans="1:22" s="120" customFormat="1" ht="25.5" customHeight="1">
      <c r="A17" s="101" t="s">
        <v>24</v>
      </c>
      <c r="B17" s="223">
        <v>29341011.530000001</v>
      </c>
      <c r="C17" s="223">
        <v>4578785.05</v>
      </c>
      <c r="D17" s="223">
        <v>406980.83</v>
      </c>
      <c r="E17" s="223">
        <v>7661170.5599999996</v>
      </c>
      <c r="F17" s="219">
        <f t="shared" si="0"/>
        <v>41987947.969999999</v>
      </c>
      <c r="G17" s="222">
        <v>361</v>
      </c>
      <c r="H17" s="118" t="s">
        <v>41</v>
      </c>
      <c r="I17" s="117">
        <f t="shared" si="1"/>
        <v>116310.1051800554</v>
      </c>
      <c r="J17" s="436">
        <f>+'ตารางที่ 4'!B14</f>
        <v>37075259.409999996</v>
      </c>
      <c r="K17" s="436">
        <f>+'ตารางที่ 4'!C14</f>
        <v>3807135.66</v>
      </c>
      <c r="L17" s="436">
        <f>+'ตารางที่ 4'!D14</f>
        <v>317152.5</v>
      </c>
      <c r="M17" s="436">
        <f>+'ตารางที่ 4'!E14</f>
        <v>9365488.0800000001</v>
      </c>
      <c r="N17" s="436">
        <f>+'ตารางที่ 4'!F14</f>
        <v>50565035.649999991</v>
      </c>
      <c r="O17" s="436">
        <f>+'ตารางที่ 4'!G14</f>
        <v>425.25</v>
      </c>
      <c r="P17" s="118" t="s">
        <v>41</v>
      </c>
      <c r="Q17" s="436">
        <f t="shared" si="2"/>
        <v>118906.60940623161</v>
      </c>
      <c r="R17" s="475">
        <f t="shared" si="3"/>
        <v>0.20427499067418683</v>
      </c>
      <c r="S17" s="475">
        <f t="shared" si="4"/>
        <v>0.17797783933518005</v>
      </c>
      <c r="T17" s="476">
        <f t="shared" si="5"/>
        <v>2.2323977973854128E-2</v>
      </c>
    </row>
    <row r="18" spans="1:22" s="120" customFormat="1" ht="25.5" customHeight="1">
      <c r="A18" s="101" t="s">
        <v>133</v>
      </c>
      <c r="B18" s="219">
        <v>521771026.13999999</v>
      </c>
      <c r="C18" s="219">
        <v>136160711.91</v>
      </c>
      <c r="D18" s="219">
        <v>8805632.2899999991</v>
      </c>
      <c r="E18" s="219">
        <v>167911902.91999999</v>
      </c>
      <c r="F18" s="219">
        <f t="shared" si="0"/>
        <v>834649273.25999987</v>
      </c>
      <c r="G18" s="220">
        <v>7184.59</v>
      </c>
      <c r="H18" s="118" t="s">
        <v>41</v>
      </c>
      <c r="I18" s="117">
        <f t="shared" si="1"/>
        <v>116172.15084785629</v>
      </c>
      <c r="J18" s="436">
        <f>+'ตารางที่ 4'!B15</f>
        <v>587237538.88</v>
      </c>
      <c r="K18" s="436">
        <f>+'ตารางที่ 4'!C15</f>
        <v>89669407.260000005</v>
      </c>
      <c r="L18" s="436">
        <f>+'ตารางที่ 4'!D15</f>
        <v>5640225.4499999993</v>
      </c>
      <c r="M18" s="436">
        <f>+'ตารางที่ 4'!E15</f>
        <v>183710235.00999999</v>
      </c>
      <c r="N18" s="436">
        <f>+'ตารางที่ 4'!F15</f>
        <v>866257406.5999999</v>
      </c>
      <c r="O18" s="436">
        <f>+'ตารางที่ 4'!G15</f>
        <v>6874.04</v>
      </c>
      <c r="P18" s="118" t="s">
        <v>41</v>
      </c>
      <c r="Q18" s="436">
        <f t="shared" si="2"/>
        <v>126018.67411303977</v>
      </c>
      <c r="R18" s="475">
        <f t="shared" si="3"/>
        <v>3.7869958499507195E-2</v>
      </c>
      <c r="S18" s="475">
        <f t="shared" si="4"/>
        <v>-4.3224456788765978E-2</v>
      </c>
      <c r="T18" s="476">
        <f t="shared" si="5"/>
        <v>8.475803532361971E-2</v>
      </c>
    </row>
    <row r="19" spans="1:22" s="120" customFormat="1" ht="25.5" customHeight="1">
      <c r="A19" s="101" t="s">
        <v>26</v>
      </c>
      <c r="B19" s="223">
        <v>85358378.989999995</v>
      </c>
      <c r="C19" s="223">
        <v>17158529.440000001</v>
      </c>
      <c r="D19" s="223">
        <v>1180973.95</v>
      </c>
      <c r="E19" s="223">
        <v>22413184.43</v>
      </c>
      <c r="F19" s="219">
        <f t="shared" si="0"/>
        <v>126111066.81</v>
      </c>
      <c r="G19" s="222">
        <v>967.68</v>
      </c>
      <c r="H19" s="118" t="s">
        <v>41</v>
      </c>
      <c r="I19" s="117">
        <f t="shared" si="1"/>
        <v>130323.10971602183</v>
      </c>
      <c r="J19" s="436">
        <f>+'ตารางที่ 4'!B16</f>
        <v>75051815.730000004</v>
      </c>
      <c r="K19" s="436">
        <f>+'ตารางที่ 4'!C16</f>
        <v>11489824.619999999</v>
      </c>
      <c r="L19" s="436">
        <f>+'ตารางที่ 4'!D16</f>
        <v>743106.49</v>
      </c>
      <c r="M19" s="436">
        <f>+'ตารางที่ 4'!E16</f>
        <v>23134423.18</v>
      </c>
      <c r="N19" s="436">
        <f>+'ตารางที่ 4'!F16</f>
        <v>110419170.02000001</v>
      </c>
      <c r="O19" s="436">
        <f>+'ตารางที่ 4'!G16</f>
        <v>911.07</v>
      </c>
      <c r="P19" s="118" t="s">
        <v>41</v>
      </c>
      <c r="Q19" s="436">
        <f t="shared" si="2"/>
        <v>121197.24062915034</v>
      </c>
      <c r="R19" s="475">
        <f t="shared" si="3"/>
        <v>-0.12442918125212227</v>
      </c>
      <c r="S19" s="475">
        <f t="shared" si="4"/>
        <v>-5.8500744047618944E-2</v>
      </c>
      <c r="T19" s="476">
        <f t="shared" si="5"/>
        <v>-7.0024948811895665E-2</v>
      </c>
      <c r="V19" s="441"/>
    </row>
    <row r="20" spans="1:22" s="120" customFormat="1" ht="25.5" customHeight="1">
      <c r="A20" s="101" t="s">
        <v>25</v>
      </c>
      <c r="B20" s="223">
        <v>153870399.63</v>
      </c>
      <c r="C20" s="223">
        <v>31390482.350000001</v>
      </c>
      <c r="D20" s="223">
        <v>2025700.57</v>
      </c>
      <c r="E20" s="223">
        <v>28710333.489999998</v>
      </c>
      <c r="F20" s="219">
        <f t="shared" si="0"/>
        <v>215996916.03999999</v>
      </c>
      <c r="G20" s="222">
        <v>1669.72</v>
      </c>
      <c r="H20" s="118" t="s">
        <v>41</v>
      </c>
      <c r="I20" s="117">
        <f t="shared" si="1"/>
        <v>129361.15997891861</v>
      </c>
      <c r="J20" s="436">
        <f>+'ตารางที่ 4'!B17</f>
        <v>169764142.05000001</v>
      </c>
      <c r="K20" s="436">
        <f>+'ตารางที่ 4'!C17</f>
        <v>15280172.189999999</v>
      </c>
      <c r="L20" s="436">
        <f>+'ตารางที่ 4'!D17</f>
        <v>1249978.74</v>
      </c>
      <c r="M20" s="436">
        <f>+'ตารางที่ 4'!E17</f>
        <v>31275104.859999999</v>
      </c>
      <c r="N20" s="436">
        <f>+'ตารางที่ 4'!F17</f>
        <v>217569397.84000003</v>
      </c>
      <c r="O20" s="436">
        <f>+'ตารางที่ 4'!G17</f>
        <v>1538.31</v>
      </c>
      <c r="P20" s="118" t="s">
        <v>41</v>
      </c>
      <c r="Q20" s="436">
        <f t="shared" si="2"/>
        <v>141434.03984892514</v>
      </c>
      <c r="R20" s="522">
        <f t="shared" si="3"/>
        <v>7.2801122758106287E-3</v>
      </c>
      <c r="S20" s="522">
        <f t="shared" si="4"/>
        <v>-7.870181826893137E-2</v>
      </c>
      <c r="T20" s="523">
        <f t="shared" si="5"/>
        <v>9.3326929597523589E-2</v>
      </c>
    </row>
    <row r="21" spans="1:22" s="120" customFormat="1" ht="25.5" customHeight="1">
      <c r="A21" s="101" t="s">
        <v>103</v>
      </c>
      <c r="B21" s="223">
        <v>44734736.590000004</v>
      </c>
      <c r="C21" s="223">
        <v>13414539.880000001</v>
      </c>
      <c r="D21" s="223">
        <v>266195.65000000002</v>
      </c>
      <c r="E21" s="223">
        <v>27027332.91</v>
      </c>
      <c r="F21" s="219">
        <f t="shared" si="0"/>
        <v>85442805.030000001</v>
      </c>
      <c r="G21" s="222">
        <v>217.81</v>
      </c>
      <c r="H21" s="118" t="s">
        <v>41</v>
      </c>
      <c r="I21" s="117">
        <f t="shared" si="1"/>
        <v>392281.36922088056</v>
      </c>
      <c r="J21" s="436">
        <f>+'ตารางที่ 4'!B18</f>
        <v>79909701.299999997</v>
      </c>
      <c r="K21" s="436">
        <f>+'ตารางที่ 4'!C18</f>
        <v>7553385.9699999997</v>
      </c>
      <c r="L21" s="436">
        <f>+'ตารางที่ 4'!D18</f>
        <v>185929.55</v>
      </c>
      <c r="M21" s="436">
        <f>+'ตารางที่ 4'!E18</f>
        <v>30886645.52</v>
      </c>
      <c r="N21" s="436">
        <f>+'ตารางที่ 4'!F18</f>
        <v>118535662.33999999</v>
      </c>
      <c r="O21" s="436">
        <f>+'ตารางที่ 4'!G18</f>
        <v>227.53</v>
      </c>
      <c r="P21" s="118" t="s">
        <v>41</v>
      </c>
      <c r="Q21" s="436">
        <f t="shared" si="2"/>
        <v>520967.17944886384</v>
      </c>
      <c r="R21" s="522">
        <f t="shared" si="3"/>
        <v>0.38731005259460627</v>
      </c>
      <c r="S21" s="522">
        <f t="shared" si="4"/>
        <v>4.4626050227262286E-2</v>
      </c>
      <c r="T21" s="523">
        <f t="shared" si="5"/>
        <v>0.32804466468435467</v>
      </c>
    </row>
    <row r="22" spans="1:22" s="120" customFormat="1" ht="25.5" customHeight="1">
      <c r="A22" s="101" t="s">
        <v>24</v>
      </c>
      <c r="B22" s="223">
        <v>158760549.43000001</v>
      </c>
      <c r="C22" s="223">
        <v>51562833.509999998</v>
      </c>
      <c r="D22" s="223">
        <v>3393252.83</v>
      </c>
      <c r="E22" s="223">
        <v>66630478.630000003</v>
      </c>
      <c r="F22" s="219">
        <f t="shared" si="0"/>
        <v>280347114.40000004</v>
      </c>
      <c r="G22" s="222">
        <v>2742.41</v>
      </c>
      <c r="H22" s="118" t="s">
        <v>41</v>
      </c>
      <c r="I22" s="117">
        <f t="shared" si="1"/>
        <v>102226.55051578722</v>
      </c>
      <c r="J22" s="436">
        <f>+'ตารางที่ 4'!B19</f>
        <v>183121414.88</v>
      </c>
      <c r="K22" s="436">
        <f>+'ตารางที่ 4'!C19</f>
        <v>36898020.869999997</v>
      </c>
      <c r="L22" s="436">
        <f>+'ตารางที่ 4'!D19</f>
        <v>2157121.6</v>
      </c>
      <c r="M22" s="436">
        <f>+'ตารางที่ 4'!E19</f>
        <v>73157994.260000005</v>
      </c>
      <c r="N22" s="436">
        <f>+'ตารางที่ 4'!F19</f>
        <v>295334551.61000001</v>
      </c>
      <c r="O22" s="436">
        <f>+'ตารางที่ 4'!G19</f>
        <v>2601.2600000000002</v>
      </c>
      <c r="P22" s="118" t="s">
        <v>41</v>
      </c>
      <c r="Q22" s="436">
        <f t="shared" si="2"/>
        <v>113535.19125731375</v>
      </c>
      <c r="R22" s="522">
        <f t="shared" si="3"/>
        <v>5.3460287051914725E-2</v>
      </c>
      <c r="S22" s="522">
        <f t="shared" si="4"/>
        <v>-5.1469328072753395E-2</v>
      </c>
      <c r="T22" s="523">
        <f t="shared" si="5"/>
        <v>0.11062332324106047</v>
      </c>
    </row>
    <row r="23" spans="1:22" s="120" customFormat="1" ht="25.5" customHeight="1">
      <c r="A23" s="101" t="s">
        <v>104</v>
      </c>
      <c r="B23" s="223">
        <v>40404934</v>
      </c>
      <c r="C23" s="223">
        <v>11369468.08</v>
      </c>
      <c r="D23" s="223">
        <v>1088370.04</v>
      </c>
      <c r="E23" s="223">
        <v>13359610.449999999</v>
      </c>
      <c r="F23" s="219">
        <f t="shared" si="0"/>
        <v>66222382.569999993</v>
      </c>
      <c r="G23" s="222">
        <v>890.54</v>
      </c>
      <c r="H23" s="118" t="s">
        <v>41</v>
      </c>
      <c r="I23" s="117">
        <f t="shared" si="1"/>
        <v>74362.052878029062</v>
      </c>
      <c r="J23" s="436">
        <f>+'ตารางที่ 4'!B20</f>
        <v>47706787.560000002</v>
      </c>
      <c r="K23" s="436">
        <f>+'ตารางที่ 4'!C20</f>
        <v>10001557.83</v>
      </c>
      <c r="L23" s="436">
        <f>+'ตารางที่ 4'!D20</f>
        <v>756964.43</v>
      </c>
      <c r="M23" s="436">
        <f>+'ตารางที่ 4'!E20</f>
        <v>16130412.73</v>
      </c>
      <c r="N23" s="436">
        <f>+'ตารางที่ 4'!F20</f>
        <v>74595722.549999997</v>
      </c>
      <c r="O23" s="436">
        <f>+'ตารางที่ 4'!G20</f>
        <v>926.33</v>
      </c>
      <c r="P23" s="118" t="s">
        <v>41</v>
      </c>
      <c r="Q23" s="436">
        <f t="shared" si="2"/>
        <v>80528.237831010541</v>
      </c>
      <c r="R23" s="522">
        <f t="shared" si="3"/>
        <v>0.12644274722597021</v>
      </c>
      <c r="S23" s="522">
        <f t="shared" si="4"/>
        <v>4.0189098749073685E-2</v>
      </c>
      <c r="T23" s="523">
        <f t="shared" si="5"/>
        <v>8.2921123265591479E-2</v>
      </c>
    </row>
    <row r="24" spans="1:22" ht="25.5" customHeight="1">
      <c r="A24" s="101" t="s">
        <v>28</v>
      </c>
      <c r="B24" s="223">
        <v>38642027.5</v>
      </c>
      <c r="C24" s="223">
        <v>11264858.65</v>
      </c>
      <c r="D24" s="223">
        <v>851139.25</v>
      </c>
      <c r="E24" s="223">
        <v>9770963.0099999998</v>
      </c>
      <c r="F24" s="219">
        <f t="shared" si="0"/>
        <v>60528988.409999996</v>
      </c>
      <c r="G24" s="222">
        <v>696.43</v>
      </c>
      <c r="H24" s="118" t="s">
        <v>41</v>
      </c>
      <c r="I24" s="117">
        <f t="shared" si="1"/>
        <v>86913.240971813386</v>
      </c>
      <c r="J24" s="436">
        <f>+'ตารางที่ 4'!B21</f>
        <v>31683677.359999999</v>
      </c>
      <c r="K24" s="436">
        <f>+'ตารางที่ 4'!C21</f>
        <v>8446445.7799999993</v>
      </c>
      <c r="L24" s="436">
        <f>+'ตารางที่ 4'!D21</f>
        <v>547124.64</v>
      </c>
      <c r="M24" s="436">
        <f>+'ตารางที่ 4'!E21</f>
        <v>9125654.4600000009</v>
      </c>
      <c r="N24" s="436">
        <f>+'ตารางที่ 4'!F21</f>
        <v>49802902.240000002</v>
      </c>
      <c r="O24" s="436">
        <f>+'ตารางที่ 4'!G21</f>
        <v>669.54</v>
      </c>
      <c r="P24" s="118" t="s">
        <v>41</v>
      </c>
      <c r="Q24" s="436">
        <f t="shared" si="2"/>
        <v>74383.759357170595</v>
      </c>
      <c r="R24" s="522">
        <f t="shared" si="3"/>
        <v>-0.17720577283310318</v>
      </c>
      <c r="S24" s="522">
        <f t="shared" si="4"/>
        <v>-3.8611202848814655E-2</v>
      </c>
      <c r="T24" s="523">
        <f t="shared" si="5"/>
        <v>-0.14416079154965808</v>
      </c>
    </row>
    <row r="25" spans="1:22" ht="25.5" customHeight="1">
      <c r="A25" s="224" t="s">
        <v>134</v>
      </c>
      <c r="B25" s="225">
        <v>3626041.07</v>
      </c>
      <c r="C25" s="225">
        <v>883891.55</v>
      </c>
      <c r="D25" s="225">
        <v>62877.41</v>
      </c>
      <c r="E25" s="225">
        <v>956617.12</v>
      </c>
      <c r="F25" s="219">
        <f t="shared" si="0"/>
        <v>5529427.1500000004</v>
      </c>
      <c r="G25" s="226">
        <v>43.92</v>
      </c>
      <c r="H25" s="118" t="s">
        <v>41</v>
      </c>
      <c r="I25" s="117">
        <f t="shared" si="1"/>
        <v>125897.70377959928</v>
      </c>
      <c r="J25" s="436">
        <f>+'ตารางที่ 4'!B22</f>
        <v>2757580.23</v>
      </c>
      <c r="K25" s="436">
        <f>+'ตารางที่ 4'!C22</f>
        <v>492098.99</v>
      </c>
      <c r="L25" s="436">
        <f>+'ตารางที่ 4'!D22</f>
        <v>33528.129999999997</v>
      </c>
      <c r="M25" s="436">
        <f>+'ตารางที่ 4'!E22</f>
        <v>777966.67999999993</v>
      </c>
      <c r="N25" s="436">
        <f>+'ตารางที่ 4'!F22</f>
        <v>4061174.0300000003</v>
      </c>
      <c r="O25" s="436">
        <f>+'ตารางที่ 4'!G22</f>
        <v>32.04</v>
      </c>
      <c r="P25" s="118" t="s">
        <v>41</v>
      </c>
      <c r="Q25" s="436">
        <f t="shared" si="2"/>
        <v>126753.24687890138</v>
      </c>
      <c r="R25" s="522">
        <f t="shared" si="3"/>
        <v>-0.26553439988806071</v>
      </c>
      <c r="S25" s="522">
        <f t="shared" si="4"/>
        <v>-0.27049180327868855</v>
      </c>
      <c r="T25" s="523">
        <f t="shared" si="5"/>
        <v>6.7955417264785253E-3</v>
      </c>
    </row>
    <row r="26" spans="1:22" ht="25.5" customHeight="1">
      <c r="A26" s="121" t="s">
        <v>26</v>
      </c>
      <c r="B26" s="223">
        <v>1562853.46</v>
      </c>
      <c r="C26" s="223">
        <v>241066.3</v>
      </c>
      <c r="D26" s="223">
        <v>17926.990000000002</v>
      </c>
      <c r="E26" s="223">
        <v>403273.71</v>
      </c>
      <c r="F26" s="219">
        <f t="shared" si="0"/>
        <v>2225120.46</v>
      </c>
      <c r="G26" s="222">
        <v>13.3</v>
      </c>
      <c r="H26" s="118" t="s">
        <v>41</v>
      </c>
      <c r="I26" s="117">
        <f t="shared" si="1"/>
        <v>167302.29022556389</v>
      </c>
      <c r="J26" s="436">
        <f>+'ตารางที่ 4'!B23</f>
        <v>1084209.29</v>
      </c>
      <c r="K26" s="436">
        <f>+'ตารางที่ 4'!C23</f>
        <v>131524</v>
      </c>
      <c r="L26" s="436">
        <f>+'ตารางที่ 4'!D23</f>
        <v>8873.23</v>
      </c>
      <c r="M26" s="436">
        <f>+'ตารางที่ 4'!E23</f>
        <v>313197.3</v>
      </c>
      <c r="N26" s="436">
        <f>+'ตารางที่ 4'!F23</f>
        <v>1537803.82</v>
      </c>
      <c r="O26" s="436">
        <f>+'ตารางที่ 4'!G23</f>
        <v>9.16</v>
      </c>
      <c r="P26" s="118" t="s">
        <v>41</v>
      </c>
      <c r="Q26" s="436">
        <f t="shared" si="2"/>
        <v>167882.51310043668</v>
      </c>
      <c r="R26" s="522">
        <f t="shared" si="3"/>
        <v>-0.30888963197974456</v>
      </c>
      <c r="S26" s="522">
        <f t="shared" si="4"/>
        <v>-0.31127819548872182</v>
      </c>
      <c r="T26" s="523">
        <f>(Q26-I26)/I26</f>
        <v>3.4681107717683562E-3</v>
      </c>
    </row>
    <row r="27" spans="1:22" ht="25.5" customHeight="1">
      <c r="A27" s="121" t="s">
        <v>25</v>
      </c>
      <c r="B27" s="223">
        <v>1197725.9099999999</v>
      </c>
      <c r="C27" s="223">
        <v>205089.43</v>
      </c>
      <c r="D27" s="223">
        <v>17381.04</v>
      </c>
      <c r="E27" s="223">
        <v>157659.29</v>
      </c>
      <c r="F27" s="219">
        <f t="shared" si="0"/>
        <v>1577855.67</v>
      </c>
      <c r="G27" s="222">
        <v>10.46</v>
      </c>
      <c r="H27" s="118" t="s">
        <v>41</v>
      </c>
      <c r="I27" s="117">
        <f t="shared" si="1"/>
        <v>150846.62237093688</v>
      </c>
      <c r="J27" s="436">
        <f>+'ตารางที่ 4'!B24</f>
        <v>938131.83</v>
      </c>
      <c r="K27" s="436">
        <f>+'ตารางที่ 4'!C24</f>
        <v>92604.7</v>
      </c>
      <c r="L27" s="436">
        <f>+'ตารางที่ 4'!D24</f>
        <v>8502.27</v>
      </c>
      <c r="M27" s="436">
        <f>+'ตารางที่ 4'!E24</f>
        <v>121048.23</v>
      </c>
      <c r="N27" s="436">
        <f>+'ตารางที่ 4'!F24</f>
        <v>1160287.03</v>
      </c>
      <c r="O27" s="436">
        <f>+'ตารางที่ 4'!G24</f>
        <v>4.5</v>
      </c>
      <c r="P27" s="118" t="s">
        <v>41</v>
      </c>
      <c r="Q27" s="436">
        <f t="shared" si="2"/>
        <v>257841.56222222222</v>
      </c>
      <c r="R27" s="522">
        <f t="shared" si="3"/>
        <v>-0.26464311529837192</v>
      </c>
      <c r="S27" s="522">
        <f t="shared" si="4"/>
        <v>-0.5697896749521989</v>
      </c>
      <c r="T27" s="523">
        <f t="shared" ref="T27:T28" si="6">(Q27-I27)/I27</f>
        <v>0.70929622532867331</v>
      </c>
    </row>
    <row r="28" spans="1:22" ht="25.5" customHeight="1">
      <c r="A28" s="121" t="s">
        <v>24</v>
      </c>
      <c r="B28" s="223">
        <v>865461.7</v>
      </c>
      <c r="C28" s="223">
        <v>437735.82</v>
      </c>
      <c r="D28" s="223">
        <v>27569.38</v>
      </c>
      <c r="E28" s="223">
        <v>395684.12</v>
      </c>
      <c r="F28" s="219">
        <f t="shared" si="0"/>
        <v>1726451.02</v>
      </c>
      <c r="G28" s="222">
        <v>20.16</v>
      </c>
      <c r="H28" s="118" t="s">
        <v>41</v>
      </c>
      <c r="I28" s="117">
        <f t="shared" si="1"/>
        <v>85637.451388888891</v>
      </c>
      <c r="J28" s="436">
        <f>+'ตารางที่ 4'!B25</f>
        <v>735239.11</v>
      </c>
      <c r="K28" s="436">
        <f>+'ตารางที่ 4'!C25</f>
        <v>267970.28999999998</v>
      </c>
      <c r="L28" s="436">
        <f>+'ตารางที่ 4'!D25</f>
        <v>16152.63</v>
      </c>
      <c r="M28" s="436">
        <f>+'ตารางที่ 4'!E25</f>
        <v>343721.15</v>
      </c>
      <c r="N28" s="436">
        <f>+'ตารางที่ 4'!F25</f>
        <v>1363083.18</v>
      </c>
      <c r="O28" s="436">
        <f>+'ตารางที่ 4'!G25</f>
        <v>18.38</v>
      </c>
      <c r="P28" s="118" t="s">
        <v>41</v>
      </c>
      <c r="Q28" s="436">
        <f t="shared" si="2"/>
        <v>74161.217627856371</v>
      </c>
      <c r="R28" s="522">
        <f t="shared" si="3"/>
        <v>-0.21047098109971291</v>
      </c>
      <c r="S28" s="522">
        <f t="shared" si="4"/>
        <v>-8.8293650793650855E-2</v>
      </c>
      <c r="T28" s="523">
        <f t="shared" si="6"/>
        <v>-0.134009520074549</v>
      </c>
    </row>
    <row r="29" spans="1:22" ht="25.5" customHeight="1">
      <c r="A29" s="121" t="s">
        <v>36</v>
      </c>
      <c r="B29" s="227">
        <v>4050268.43</v>
      </c>
      <c r="C29" s="227">
        <v>240476.39</v>
      </c>
      <c r="D29" s="227">
        <v>0</v>
      </c>
      <c r="E29" s="227">
        <v>970716.65</v>
      </c>
      <c r="F29" s="219">
        <f t="shared" si="0"/>
        <v>5261461.4700000007</v>
      </c>
      <c r="G29" s="228">
        <v>121</v>
      </c>
      <c r="H29" s="229" t="s">
        <v>22</v>
      </c>
      <c r="I29" s="117">
        <f t="shared" si="1"/>
        <v>43483.152644628106</v>
      </c>
      <c r="J29" s="436">
        <f>+'ตารางที่ 4'!B26</f>
        <v>3970082.76</v>
      </c>
      <c r="K29" s="436">
        <f>+'ตารางที่ 4'!C26</f>
        <v>1260015.2</v>
      </c>
      <c r="L29" s="436">
        <f>+'ตารางที่ 4'!D26</f>
        <v>0</v>
      </c>
      <c r="M29" s="436">
        <f>+'ตารางที่ 4'!E26</f>
        <v>1502395.17</v>
      </c>
      <c r="N29" s="436">
        <f>+'ตารางที่ 4'!F26</f>
        <v>6732493.1299999999</v>
      </c>
      <c r="O29" s="436">
        <f>+'ตารางที่ 4'!G26</f>
        <v>148</v>
      </c>
      <c r="P29" s="451" t="s">
        <v>22</v>
      </c>
      <c r="Q29" s="436">
        <f t="shared" si="2"/>
        <v>45489.818445945944</v>
      </c>
      <c r="R29" s="522">
        <f t="shared" si="3"/>
        <v>0.27958613179771113</v>
      </c>
      <c r="S29" s="522">
        <f t="shared" si="4"/>
        <v>0.2231404958677686</v>
      </c>
      <c r="T29" s="523">
        <f t="shared" si="5"/>
        <v>4.6148121267047579E-2</v>
      </c>
    </row>
    <row r="30" spans="1:22" ht="25.5" customHeight="1">
      <c r="A30" s="121" t="s">
        <v>19</v>
      </c>
      <c r="B30" s="227">
        <v>7469885.3799999999</v>
      </c>
      <c r="C30" s="227">
        <v>1850960</v>
      </c>
      <c r="D30" s="227">
        <v>0</v>
      </c>
      <c r="E30" s="227">
        <v>2100068.04</v>
      </c>
      <c r="F30" s="219">
        <f t="shared" si="0"/>
        <v>11420913.419999998</v>
      </c>
      <c r="G30" s="228">
        <v>150</v>
      </c>
      <c r="H30" s="229" t="s">
        <v>22</v>
      </c>
      <c r="I30" s="117">
        <f t="shared" si="1"/>
        <v>76139.422799999986</v>
      </c>
      <c r="J30" s="436">
        <f>+'ตารางที่ 4'!B27</f>
        <v>7604941.0099999998</v>
      </c>
      <c r="K30" s="436">
        <f>+'ตารางที่ 4'!C27</f>
        <v>1953970.8</v>
      </c>
      <c r="L30" s="436">
        <f>+'ตารางที่ 4'!D27</f>
        <v>0</v>
      </c>
      <c r="M30" s="436">
        <f>+'ตารางที่ 4'!E27</f>
        <v>2884349.97</v>
      </c>
      <c r="N30" s="436">
        <f>+'ตารางที่ 4'!F27</f>
        <v>12443261.780000001</v>
      </c>
      <c r="O30" s="436">
        <f>+'ตารางที่ 4'!G27</f>
        <v>158</v>
      </c>
      <c r="P30" s="451" t="s">
        <v>22</v>
      </c>
      <c r="Q30" s="436">
        <f t="shared" si="2"/>
        <v>78754.821392405065</v>
      </c>
      <c r="R30" s="522">
        <f t="shared" si="3"/>
        <v>8.9515463641436421E-2</v>
      </c>
      <c r="S30" s="522">
        <f t="shared" si="4"/>
        <v>5.3333333333333337E-2</v>
      </c>
      <c r="T30" s="523">
        <f t="shared" si="5"/>
        <v>3.4350123710224396E-2</v>
      </c>
    </row>
    <row r="31" spans="1:22" ht="25.5" customHeight="1">
      <c r="A31" s="121" t="s">
        <v>20</v>
      </c>
      <c r="B31" s="227">
        <v>20989000</v>
      </c>
      <c r="C31" s="227">
        <v>815009</v>
      </c>
      <c r="D31" s="227">
        <v>0</v>
      </c>
      <c r="E31" s="227">
        <v>4624151.43</v>
      </c>
      <c r="F31" s="219">
        <f t="shared" si="0"/>
        <v>26428160.43</v>
      </c>
      <c r="G31" s="228">
        <v>97</v>
      </c>
      <c r="H31" s="229" t="s">
        <v>22</v>
      </c>
      <c r="I31" s="117">
        <f t="shared" si="1"/>
        <v>272455.26216494845</v>
      </c>
      <c r="J31" s="436">
        <f>+'ตารางที่ 4'!B28</f>
        <v>26335500</v>
      </c>
      <c r="K31" s="436">
        <f>+'ตารางที่ 4'!C28</f>
        <v>1558570</v>
      </c>
      <c r="L31" s="436">
        <f>+'ตารางที่ 4'!D28</f>
        <v>0</v>
      </c>
      <c r="M31" s="436">
        <f>+'ตารางที่ 4'!E28</f>
        <v>7324081.6500000004</v>
      </c>
      <c r="N31" s="436">
        <f>+'ตารางที่ 4'!F28</f>
        <v>35218151.649999999</v>
      </c>
      <c r="O31" s="436">
        <f>+'ตารางที่ 4'!G28</f>
        <v>148</v>
      </c>
      <c r="P31" s="451" t="s">
        <v>22</v>
      </c>
      <c r="Q31" s="436">
        <f t="shared" si="2"/>
        <v>237960.48412162162</v>
      </c>
      <c r="R31" s="522">
        <f t="shared" si="3"/>
        <v>0.33259943473106873</v>
      </c>
      <c r="S31" s="522">
        <f t="shared" si="4"/>
        <v>0.52577319587628868</v>
      </c>
      <c r="T31" s="523">
        <f t="shared" si="5"/>
        <v>-0.12660712723706979</v>
      </c>
    </row>
    <row r="32" spans="1:22" ht="25.5" customHeight="1">
      <c r="A32" s="121" t="s">
        <v>21</v>
      </c>
      <c r="B32" s="227">
        <v>12000000</v>
      </c>
      <c r="C32" s="227">
        <v>2800350</v>
      </c>
      <c r="D32" s="227">
        <v>0</v>
      </c>
      <c r="E32" s="227">
        <v>3174256.35</v>
      </c>
      <c r="F32" s="219">
        <f t="shared" si="0"/>
        <v>17974606.350000001</v>
      </c>
      <c r="G32" s="228">
        <v>153</v>
      </c>
      <c r="H32" s="229" t="s">
        <v>22</v>
      </c>
      <c r="I32" s="117">
        <f t="shared" si="1"/>
        <v>117481.08725490197</v>
      </c>
      <c r="J32" s="436">
        <f>+'ตารางที่ 4'!B29</f>
        <v>16833700</v>
      </c>
      <c r="K32" s="436">
        <f>+'ตารางที่ 4'!C29</f>
        <v>2625660</v>
      </c>
      <c r="L32" s="436">
        <f>+'ตารางที่ 4'!D29</f>
        <v>0</v>
      </c>
      <c r="M32" s="436">
        <f>+'ตารางที่ 4'!E29</f>
        <v>5418058.9699999997</v>
      </c>
      <c r="N32" s="436">
        <f>+'ตารางที่ 4'!F29</f>
        <v>24877418.969999999</v>
      </c>
      <c r="O32" s="436">
        <f>+'ตารางที่ 4'!G29</f>
        <v>159</v>
      </c>
      <c r="P32" s="451" t="s">
        <v>22</v>
      </c>
      <c r="Q32" s="436">
        <f t="shared" si="2"/>
        <v>156461.75452830188</v>
      </c>
      <c r="R32" s="522">
        <f t="shared" si="3"/>
        <v>0.38403136544906846</v>
      </c>
      <c r="S32" s="522">
        <f t="shared" si="4"/>
        <v>3.9215686274509803E-2</v>
      </c>
      <c r="T32" s="523">
        <f t="shared" si="5"/>
        <v>0.33180376675287726</v>
      </c>
    </row>
    <row r="33" spans="1:20" ht="39.75" customHeight="1">
      <c r="A33" s="477" t="s">
        <v>163</v>
      </c>
      <c r="B33" s="225">
        <v>7260533.9299999997</v>
      </c>
      <c r="C33" s="225">
        <v>508500</v>
      </c>
      <c r="D33" s="225">
        <v>0</v>
      </c>
      <c r="E33" s="225">
        <v>716376.02</v>
      </c>
      <c r="F33" s="219">
        <f t="shared" si="0"/>
        <v>8485409.9499999993</v>
      </c>
      <c r="G33" s="226">
        <v>41</v>
      </c>
      <c r="H33" s="230" t="s">
        <v>22</v>
      </c>
      <c r="I33" s="117">
        <f t="shared" si="1"/>
        <v>206961.2182926829</v>
      </c>
      <c r="J33" s="596"/>
      <c r="K33" s="597"/>
      <c r="L33" s="597"/>
      <c r="M33" s="597"/>
      <c r="N33" s="597"/>
      <c r="O33" s="597"/>
      <c r="P33" s="597"/>
      <c r="Q33" s="598"/>
      <c r="R33" s="484"/>
      <c r="S33" s="484"/>
      <c r="T33" s="485"/>
    </row>
    <row r="34" spans="1:20" ht="27" customHeight="1">
      <c r="A34" s="477" t="s">
        <v>503</v>
      </c>
      <c r="B34" s="593" t="s">
        <v>518</v>
      </c>
      <c r="C34" s="594"/>
      <c r="D34" s="594"/>
      <c r="E34" s="594"/>
      <c r="F34" s="594"/>
      <c r="G34" s="594"/>
      <c r="H34" s="594"/>
      <c r="I34" s="595"/>
      <c r="J34" s="436">
        <f>+'ตารางที่ 4'!B30</f>
        <v>3178523.52</v>
      </c>
      <c r="K34" s="436">
        <f>+'ตารางที่ 4'!C30</f>
        <v>0</v>
      </c>
      <c r="L34" s="436">
        <f>+'ตารางที่ 4'!D30</f>
        <v>0</v>
      </c>
      <c r="M34" s="436">
        <f>+'ตารางที่ 4'!E30</f>
        <v>165266.29999999999</v>
      </c>
      <c r="N34" s="436">
        <f>+'ตารางที่ 4'!F30</f>
        <v>3343789.82</v>
      </c>
      <c r="O34" s="436">
        <f>+'ตารางที่ 4'!G30</f>
        <v>24</v>
      </c>
      <c r="P34" s="436" t="str">
        <f>+'ตารางที่ 4'!H30</f>
        <v>โครงการ</v>
      </c>
      <c r="Q34" s="436">
        <f>+'ตารางที่ 4'!I30</f>
        <v>139324.57583333334</v>
      </c>
      <c r="R34" s="486"/>
      <c r="S34" s="484"/>
      <c r="T34" s="485"/>
    </row>
    <row r="35" spans="1:20" ht="26.25" customHeight="1" thickBot="1">
      <c r="A35" s="477" t="s">
        <v>200</v>
      </c>
      <c r="B35" s="500">
        <v>5141735.5999999996</v>
      </c>
      <c r="C35" s="501">
        <v>0</v>
      </c>
      <c r="D35" s="501">
        <v>0</v>
      </c>
      <c r="E35" s="501">
        <v>1405783.76</v>
      </c>
      <c r="F35" s="502">
        <f t="shared" si="0"/>
        <v>6547519.3599999994</v>
      </c>
      <c r="G35" s="503">
        <v>41</v>
      </c>
      <c r="H35" s="230" t="s">
        <v>22</v>
      </c>
      <c r="I35" s="504">
        <f t="shared" si="1"/>
        <v>159695.59414634143</v>
      </c>
      <c r="J35" s="505">
        <f>+'ตารางที่ 4'!B31</f>
        <v>5298414.99</v>
      </c>
      <c r="K35" s="505">
        <f>+'ตารางที่ 4'!C31</f>
        <v>0</v>
      </c>
      <c r="L35" s="505">
        <f>+'ตารางที่ 4'!D31</f>
        <v>0</v>
      </c>
      <c r="M35" s="505">
        <f>+'ตารางที่ 4'!E31</f>
        <v>1319083.06</v>
      </c>
      <c r="N35" s="505">
        <f>+'ตารางที่ 4'!F31</f>
        <v>6617498.0500000007</v>
      </c>
      <c r="O35" s="505">
        <f>+'ตารางที่ 4'!G31</f>
        <v>41</v>
      </c>
      <c r="P35" s="454" t="s">
        <v>22</v>
      </c>
      <c r="Q35" s="505">
        <f>+N35/O35</f>
        <v>161402.39146341465</v>
      </c>
      <c r="R35" s="506">
        <f t="shared" si="3"/>
        <v>1.0687817194938595E-2</v>
      </c>
      <c r="S35" s="506">
        <f>(O35-G35)/G35</f>
        <v>0</v>
      </c>
      <c r="T35" s="507">
        <f t="shared" si="5"/>
        <v>1.0687817194938668E-2</v>
      </c>
    </row>
    <row r="36" spans="1:20" ht="26.25" customHeight="1" thickTop="1" thickBot="1">
      <c r="A36" s="508" t="s">
        <v>63</v>
      </c>
      <c r="B36" s="509">
        <f>+B9+B15+B29+B30+B31+B32+B33+B35</f>
        <v>797717261.87999988</v>
      </c>
      <c r="C36" s="509">
        <f>+C9+C15+C29+C30+C31+C32+C33+C35</f>
        <v>211919207.68999997</v>
      </c>
      <c r="D36" s="509">
        <f>+D9+D15+D29+D30+D31+D32+D33+D35</f>
        <v>12381364.059999999</v>
      </c>
      <c r="E36" s="509">
        <f>+E9+E15+E29+E30+E31+E32+E33+E35</f>
        <v>229823961.60999998</v>
      </c>
      <c r="F36" s="509">
        <f>+F9+F15+F29+F30+F31+F32+F33+F35</f>
        <v>1251841795.24</v>
      </c>
      <c r="G36" s="604"/>
      <c r="H36" s="605"/>
      <c r="I36" s="606"/>
      <c r="J36" s="510">
        <f>+'ตารางที่ 4'!B32</f>
        <v>869171922.94999993</v>
      </c>
      <c r="K36" s="510">
        <f>+'ตารางที่ 4'!C32</f>
        <v>164932546.28</v>
      </c>
      <c r="L36" s="510">
        <f>+'ตารางที่ 4'!D32</f>
        <v>9963717.0399999991</v>
      </c>
      <c r="M36" s="510">
        <f>+'ตารางที่ 4'!E32</f>
        <v>246376807.05000001</v>
      </c>
      <c r="N36" s="510">
        <f>+'ตารางที่ 4'!F32</f>
        <v>1290444993.3199999</v>
      </c>
      <c r="O36" s="599"/>
      <c r="P36" s="600"/>
      <c r="Q36" s="600"/>
      <c r="R36" s="600"/>
      <c r="S36" s="600"/>
      <c r="T36" s="601"/>
    </row>
    <row r="37" spans="1:20" s="5" customFormat="1" ht="38.25" customHeight="1" thickTop="1">
      <c r="A37" s="109" t="s">
        <v>418</v>
      </c>
      <c r="B37" s="218"/>
      <c r="C37" s="218"/>
      <c r="D37" s="218"/>
      <c r="E37" s="218"/>
      <c r="F37" s="218"/>
      <c r="G37" s="296"/>
      <c r="H37" s="297"/>
      <c r="I37" s="298"/>
      <c r="J37" s="183"/>
      <c r="O37" s="108"/>
      <c r="P37" s="111"/>
      <c r="R37" s="299"/>
      <c r="S37" s="112"/>
      <c r="T37" s="112"/>
    </row>
    <row r="38" spans="1:20" s="5" customFormat="1" ht="28.5" customHeight="1">
      <c r="A38" s="603" t="s">
        <v>519</v>
      </c>
      <c r="B38" s="603"/>
      <c r="C38" s="603"/>
      <c r="D38" s="603"/>
      <c r="E38" s="603"/>
      <c r="F38" s="603"/>
      <c r="G38" s="603"/>
      <c r="H38" s="603"/>
      <c r="I38" s="603"/>
      <c r="J38" s="603"/>
      <c r="K38" s="603"/>
      <c r="L38" s="603"/>
      <c r="M38" s="603"/>
      <c r="N38" s="603"/>
      <c r="O38" s="603"/>
      <c r="P38" s="603"/>
      <c r="Q38" s="603"/>
      <c r="R38" s="603"/>
      <c r="S38" s="603"/>
      <c r="T38" s="603"/>
    </row>
    <row r="39" spans="1:20" s="5" customFormat="1" ht="28.5" customHeight="1">
      <c r="A39" s="603" t="s">
        <v>520</v>
      </c>
      <c r="B39" s="603"/>
      <c r="C39" s="603"/>
      <c r="D39" s="603"/>
      <c r="E39" s="603"/>
      <c r="F39" s="603"/>
      <c r="G39" s="603"/>
      <c r="H39" s="603"/>
      <c r="I39" s="603"/>
      <c r="J39" s="603"/>
      <c r="K39" s="603"/>
      <c r="L39" s="603"/>
      <c r="M39" s="603"/>
      <c r="N39" s="603"/>
      <c r="O39" s="603"/>
      <c r="P39" s="603"/>
      <c r="Q39" s="603"/>
      <c r="R39" s="603"/>
      <c r="S39" s="603"/>
      <c r="T39" s="603"/>
    </row>
    <row r="40" spans="1:20" s="5" customFormat="1" ht="28.5" customHeight="1">
      <c r="A40" s="603" t="s">
        <v>523</v>
      </c>
      <c r="B40" s="603"/>
      <c r="C40" s="603"/>
      <c r="D40" s="603"/>
      <c r="E40" s="603"/>
      <c r="F40" s="603"/>
      <c r="G40" s="603"/>
      <c r="H40" s="603"/>
      <c r="I40" s="603"/>
      <c r="J40" s="603"/>
      <c r="K40" s="603"/>
      <c r="L40" s="603"/>
      <c r="M40" s="603"/>
      <c r="N40" s="603"/>
      <c r="O40" s="603"/>
      <c r="P40" s="603"/>
      <c r="Q40" s="603"/>
      <c r="R40" s="603"/>
      <c r="S40" s="603"/>
      <c r="T40" s="603"/>
    </row>
    <row r="41" spans="1:20" s="36" customFormat="1" ht="28.5" customHeight="1">
      <c r="A41" s="602" t="s">
        <v>522</v>
      </c>
      <c r="B41" s="602"/>
      <c r="C41" s="602"/>
      <c r="D41" s="602"/>
      <c r="E41" s="602"/>
      <c r="F41" s="602"/>
      <c r="G41" s="602"/>
      <c r="H41" s="602"/>
      <c r="I41" s="602"/>
      <c r="J41" s="602"/>
      <c r="K41" s="602"/>
      <c r="L41" s="602"/>
      <c r="M41" s="602"/>
      <c r="N41" s="602"/>
      <c r="O41" s="602"/>
      <c r="P41" s="602"/>
      <c r="Q41" s="602"/>
      <c r="R41" s="602"/>
      <c r="S41" s="602"/>
      <c r="T41" s="602"/>
    </row>
    <row r="42" spans="1:20" s="141" customFormat="1" ht="23.25">
      <c r="A42" s="5" t="s">
        <v>524</v>
      </c>
      <c r="H42" s="143"/>
      <c r="I42" s="144"/>
      <c r="J42" s="142"/>
      <c r="O42" s="144"/>
      <c r="P42" s="143"/>
      <c r="R42" s="237"/>
      <c r="S42" s="238"/>
      <c r="T42" s="238"/>
    </row>
    <row r="43" spans="1:20" s="232" customFormat="1" ht="26.25">
      <c r="H43" s="234"/>
      <c r="I43" s="233"/>
      <c r="J43" s="4"/>
      <c r="O43" s="233"/>
      <c r="P43" s="234"/>
      <c r="R43" s="235"/>
      <c r="S43" s="236"/>
      <c r="T43" s="236"/>
    </row>
    <row r="44" spans="1:20" s="232" customFormat="1" ht="26.25">
      <c r="C44" s="5"/>
      <c r="D44" s="167"/>
      <c r="E44" s="167"/>
      <c r="H44" s="234"/>
      <c r="I44" s="233"/>
      <c r="J44" s="4"/>
      <c r="O44" s="233"/>
      <c r="P44" s="234"/>
      <c r="R44" s="235"/>
      <c r="S44" s="236"/>
      <c r="T44" s="236"/>
    </row>
  </sheetData>
  <mergeCells count="16">
    <mergeCell ref="A1:T1"/>
    <mergeCell ref="R7:T7"/>
    <mergeCell ref="J7:Q7"/>
    <mergeCell ref="O8:P8"/>
    <mergeCell ref="G8:H8"/>
    <mergeCell ref="B7:I7"/>
    <mergeCell ref="A7:A8"/>
    <mergeCell ref="A5:D5"/>
    <mergeCell ref="B34:I34"/>
    <mergeCell ref="J33:Q33"/>
    <mergeCell ref="O36:T36"/>
    <mergeCell ref="A41:T41"/>
    <mergeCell ref="A38:T38"/>
    <mergeCell ref="A39:T39"/>
    <mergeCell ref="A40:T40"/>
    <mergeCell ref="G36:I36"/>
  </mergeCells>
  <phoneticPr fontId="3" type="noConversion"/>
  <printOptions horizontalCentered="1"/>
  <pageMargins left="0.27559055118110237" right="0.27559055118110237" top="0.26" bottom="0.19" header="0.19" footer="0.16"/>
  <pageSetup paperSize="9" scale="5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L101"/>
  <sheetViews>
    <sheetView topLeftCell="A34" zoomScale="90" zoomScaleNormal="90" workbookViewId="0">
      <selection activeCell="C22" sqref="C22"/>
    </sheetView>
  </sheetViews>
  <sheetFormatPr defaultColWidth="9.140625" defaultRowHeight="17.25" customHeight="1"/>
  <cols>
    <col min="1" max="1" width="7.7109375" style="81" customWidth="1"/>
    <col min="2" max="2" width="7.7109375" style="445" customWidth="1"/>
    <col min="3" max="3" width="36.28515625" style="445" customWidth="1"/>
    <col min="4" max="4" width="11" style="267" customWidth="1"/>
    <col min="5" max="5" width="11" style="81" customWidth="1"/>
    <col min="6" max="10" width="17.42578125" style="81" customWidth="1"/>
    <col min="11" max="12" width="14.7109375" style="81" customWidth="1"/>
    <col min="13" max="16384" width="9.140625" style="81"/>
  </cols>
  <sheetData>
    <row r="1" spans="1:12" s="256" customFormat="1" ht="17.25" customHeight="1">
      <c r="A1" s="623" t="s">
        <v>431</v>
      </c>
      <c r="B1" s="623"/>
      <c r="C1" s="623"/>
      <c r="D1" s="623"/>
      <c r="E1" s="623"/>
      <c r="F1" s="623"/>
      <c r="G1" s="623"/>
      <c r="H1" s="623"/>
      <c r="I1" s="623"/>
      <c r="J1" s="623"/>
      <c r="K1" s="623"/>
    </row>
    <row r="2" spans="1:12" s="256" customFormat="1" ht="17.25" customHeight="1">
      <c r="A2" s="624" t="s">
        <v>39</v>
      </c>
      <c r="B2" s="624"/>
      <c r="C2" s="624"/>
      <c r="D2" s="624"/>
      <c r="E2" s="624"/>
      <c r="F2" s="624"/>
      <c r="G2" s="624"/>
      <c r="H2" s="624"/>
      <c r="I2" s="624"/>
      <c r="J2" s="624"/>
      <c r="K2" s="624"/>
    </row>
    <row r="3" spans="1:12" s="256" customFormat="1" ht="39.75" customHeight="1">
      <c r="A3" s="625" t="s">
        <v>40</v>
      </c>
      <c r="B3" s="625"/>
      <c r="C3" s="625"/>
      <c r="D3" s="257" t="s">
        <v>105</v>
      </c>
      <c r="E3" s="443" t="s">
        <v>500</v>
      </c>
      <c r="F3" s="443" t="s">
        <v>42</v>
      </c>
      <c r="G3" s="443" t="s">
        <v>43</v>
      </c>
      <c r="H3" s="443" t="s">
        <v>10</v>
      </c>
      <c r="I3" s="444" t="s">
        <v>11</v>
      </c>
      <c r="J3" s="443" t="s">
        <v>44</v>
      </c>
      <c r="K3" s="444" t="s">
        <v>158</v>
      </c>
      <c r="L3" s="444" t="s">
        <v>183</v>
      </c>
    </row>
    <row r="4" spans="1:12" s="256" customFormat="1" ht="17.25" customHeight="1">
      <c r="A4" s="244" t="s">
        <v>135</v>
      </c>
      <c r="B4" s="244"/>
      <c r="C4" s="244"/>
      <c r="D4" s="258">
        <f t="shared" ref="D4:J6" si="0">+D5</f>
        <v>521</v>
      </c>
      <c r="E4" s="244">
        <f t="shared" si="0"/>
        <v>425.25</v>
      </c>
      <c r="F4" s="244">
        <f t="shared" si="0"/>
        <v>37075259.409999996</v>
      </c>
      <c r="G4" s="244">
        <f t="shared" si="0"/>
        <v>3807135.66</v>
      </c>
      <c r="H4" s="244">
        <f t="shared" si="0"/>
        <v>317152.5</v>
      </c>
      <c r="I4" s="244">
        <f t="shared" si="0"/>
        <v>9365488.0800000001</v>
      </c>
      <c r="J4" s="244">
        <f t="shared" si="0"/>
        <v>50565035.649999991</v>
      </c>
      <c r="K4" s="443">
        <f>+J4/E4</f>
        <v>118906.60940623161</v>
      </c>
      <c r="L4" s="443">
        <f>+(F4+G4+H4)/E4</f>
        <v>96883.12185773073</v>
      </c>
    </row>
    <row r="5" spans="1:12" ht="17.25" customHeight="1">
      <c r="A5" s="620" t="s">
        <v>112</v>
      </c>
      <c r="B5" s="620"/>
      <c r="C5" s="620"/>
      <c r="D5" s="259">
        <f t="shared" si="0"/>
        <v>521</v>
      </c>
      <c r="E5" s="125">
        <f t="shared" si="0"/>
        <v>425.25</v>
      </c>
      <c r="F5" s="125">
        <f t="shared" si="0"/>
        <v>37075259.409999996</v>
      </c>
      <c r="G5" s="125">
        <f t="shared" si="0"/>
        <v>3807135.66</v>
      </c>
      <c r="H5" s="125">
        <f t="shared" si="0"/>
        <v>317152.5</v>
      </c>
      <c r="I5" s="125">
        <f t="shared" si="0"/>
        <v>9365488.0800000001</v>
      </c>
      <c r="J5" s="125">
        <f t="shared" si="0"/>
        <v>50565035.649999991</v>
      </c>
      <c r="K5" s="423">
        <f t="shared" ref="K5:K45" si="1">+J5/E5</f>
        <v>118906.60940623161</v>
      </c>
      <c r="L5" s="423">
        <f t="shared" ref="L5:L45" si="2">+(F5+G5+H5)/E5</f>
        <v>96883.12185773073</v>
      </c>
    </row>
    <row r="6" spans="1:12" ht="17.25" customHeight="1">
      <c r="A6" s="423"/>
      <c r="B6" s="626" t="s">
        <v>58</v>
      </c>
      <c r="C6" s="626"/>
      <c r="D6" s="259">
        <f t="shared" si="0"/>
        <v>521</v>
      </c>
      <c r="E6" s="125">
        <f>+E7</f>
        <v>425.25</v>
      </c>
      <c r="F6" s="125">
        <f t="shared" si="0"/>
        <v>37075259.409999996</v>
      </c>
      <c r="G6" s="125">
        <f t="shared" si="0"/>
        <v>3807135.66</v>
      </c>
      <c r="H6" s="125">
        <f t="shared" si="0"/>
        <v>317152.5</v>
      </c>
      <c r="I6" s="125">
        <f t="shared" si="0"/>
        <v>9365488.0800000001</v>
      </c>
      <c r="J6" s="125">
        <f t="shared" si="0"/>
        <v>50565035.649999991</v>
      </c>
      <c r="K6" s="423">
        <f t="shared" si="1"/>
        <v>118906.60940623161</v>
      </c>
      <c r="L6" s="423">
        <f t="shared" si="2"/>
        <v>96883.12185773073</v>
      </c>
    </row>
    <row r="7" spans="1:12" ht="17.25" customHeight="1">
      <c r="A7" s="423"/>
      <c r="B7" s="423"/>
      <c r="C7" s="447" t="s">
        <v>154</v>
      </c>
      <c r="D7" s="251">
        <v>521</v>
      </c>
      <c r="E7" s="122">
        <v>425.25</v>
      </c>
      <c r="F7" s="122">
        <v>37075259.409999996</v>
      </c>
      <c r="G7" s="122">
        <v>3807135.66</v>
      </c>
      <c r="H7" s="122">
        <v>317152.5</v>
      </c>
      <c r="I7" s="122">
        <v>9365488.0800000001</v>
      </c>
      <c r="J7" s="423">
        <f>SUM(F7:I7)</f>
        <v>50565035.649999991</v>
      </c>
      <c r="K7" s="423">
        <f t="shared" si="1"/>
        <v>118906.60940623161</v>
      </c>
      <c r="L7" s="423">
        <f t="shared" si="2"/>
        <v>96883.12185773073</v>
      </c>
    </row>
    <row r="8" spans="1:12" s="256" customFormat="1" ht="17.25" customHeight="1">
      <c r="A8" s="244" t="s">
        <v>133</v>
      </c>
      <c r="B8" s="244"/>
      <c r="C8" s="244"/>
      <c r="D8" s="258">
        <f t="shared" ref="D8:J8" si="3">+D9+D16</f>
        <v>17044</v>
      </c>
      <c r="E8" s="244">
        <f t="shared" si="3"/>
        <v>13377.39</v>
      </c>
      <c r="F8" s="244">
        <f t="shared" si="3"/>
        <v>765622864.33999991</v>
      </c>
      <c r="G8" s="244">
        <f t="shared" si="3"/>
        <v>152924802.16</v>
      </c>
      <c r="H8" s="244">
        <f t="shared" si="3"/>
        <v>9580870.6600000001</v>
      </c>
      <c r="I8" s="244">
        <f t="shared" si="3"/>
        <v>217372084.12</v>
      </c>
      <c r="J8" s="244">
        <f t="shared" si="3"/>
        <v>1145500621.28</v>
      </c>
      <c r="K8" s="443">
        <f t="shared" si="1"/>
        <v>85629.604973765439</v>
      </c>
      <c r="L8" s="443">
        <f t="shared" si="2"/>
        <v>69380.39013290334</v>
      </c>
    </row>
    <row r="9" spans="1:12" s="445" customFormat="1" ht="17.25" customHeight="1">
      <c r="A9" s="620" t="s">
        <v>111</v>
      </c>
      <c r="B9" s="620"/>
      <c r="C9" s="620"/>
      <c r="D9" s="260">
        <f t="shared" ref="D9:J9" si="4">+D10+D14</f>
        <v>8130</v>
      </c>
      <c r="E9" s="122">
        <f t="shared" si="4"/>
        <v>6503.35</v>
      </c>
      <c r="F9" s="122">
        <f t="shared" si="4"/>
        <v>178385325.45999998</v>
      </c>
      <c r="G9" s="122">
        <f t="shared" si="4"/>
        <v>63255394.899999999</v>
      </c>
      <c r="H9" s="122">
        <f t="shared" si="4"/>
        <v>3940645.21</v>
      </c>
      <c r="I9" s="122">
        <f t="shared" si="4"/>
        <v>33661849.109999999</v>
      </c>
      <c r="J9" s="122">
        <f t="shared" si="4"/>
        <v>279243214.68000001</v>
      </c>
      <c r="K9" s="423">
        <f t="shared" si="1"/>
        <v>42938.364793529487</v>
      </c>
      <c r="L9" s="423">
        <f t="shared" si="2"/>
        <v>37762.286447753846</v>
      </c>
    </row>
    <row r="10" spans="1:12" ht="17.25" customHeight="1">
      <c r="A10" s="128"/>
      <c r="B10" s="619" t="s">
        <v>45</v>
      </c>
      <c r="C10" s="619"/>
      <c r="D10" s="251">
        <f t="shared" ref="D10:J10" si="5">+D11+D12+D13</f>
        <v>6689</v>
      </c>
      <c r="E10" s="423">
        <f t="shared" si="5"/>
        <v>5262.5700000000006</v>
      </c>
      <c r="F10" s="423">
        <f t="shared" si="5"/>
        <v>125440829.63</v>
      </c>
      <c r="G10" s="423">
        <f t="shared" si="5"/>
        <v>46916302.269999996</v>
      </c>
      <c r="H10" s="423">
        <f t="shared" si="5"/>
        <v>2926723.25</v>
      </c>
      <c r="I10" s="423">
        <f t="shared" si="5"/>
        <v>21937403.579999998</v>
      </c>
      <c r="J10" s="423">
        <f t="shared" si="5"/>
        <v>197221258.73000002</v>
      </c>
      <c r="K10" s="423">
        <f t="shared" si="1"/>
        <v>37476.225253060766</v>
      </c>
      <c r="L10" s="423">
        <f t="shared" si="2"/>
        <v>33307.652943333764</v>
      </c>
    </row>
    <row r="11" spans="1:12" ht="17.25" customHeight="1">
      <c r="A11" s="122"/>
      <c r="B11" s="447"/>
      <c r="C11" s="122" t="s">
        <v>46</v>
      </c>
      <c r="D11" s="251">
        <v>2952</v>
      </c>
      <c r="E11" s="122">
        <v>2474.61</v>
      </c>
      <c r="F11" s="122">
        <v>31093773.309999999</v>
      </c>
      <c r="G11" s="122">
        <v>19489070.57</v>
      </c>
      <c r="H11" s="122">
        <v>2020283</v>
      </c>
      <c r="I11" s="122">
        <v>15578586.619999999</v>
      </c>
      <c r="J11" s="423">
        <f t="shared" ref="J11:J28" si="6">SUM(F11:I11)</f>
        <v>68181713.5</v>
      </c>
      <c r="K11" s="423">
        <f t="shared" si="1"/>
        <v>27552.508678135138</v>
      </c>
      <c r="L11" s="423">
        <f t="shared" si="2"/>
        <v>21257.138248047166</v>
      </c>
    </row>
    <row r="12" spans="1:12" ht="17.25" customHeight="1">
      <c r="A12" s="122"/>
      <c r="B12" s="423"/>
      <c r="C12" s="122" t="s">
        <v>47</v>
      </c>
      <c r="D12" s="251">
        <v>2616</v>
      </c>
      <c r="E12" s="122">
        <v>1925.57</v>
      </c>
      <c r="F12" s="122">
        <v>57427664.310000002</v>
      </c>
      <c r="G12" s="122">
        <v>20427115.98</v>
      </c>
      <c r="H12" s="122">
        <v>201725.35</v>
      </c>
      <c r="I12" s="122">
        <v>3767956.04</v>
      </c>
      <c r="J12" s="423">
        <f t="shared" si="6"/>
        <v>81824461.680000007</v>
      </c>
      <c r="K12" s="423">
        <f t="shared" si="1"/>
        <v>42493.631329943863</v>
      </c>
      <c r="L12" s="423">
        <f t="shared" si="2"/>
        <v>40536.830985110901</v>
      </c>
    </row>
    <row r="13" spans="1:12" ht="17.25" customHeight="1">
      <c r="A13" s="122"/>
      <c r="B13" s="423"/>
      <c r="C13" s="122" t="s">
        <v>71</v>
      </c>
      <c r="D13" s="251">
        <v>1121</v>
      </c>
      <c r="E13" s="122">
        <v>862.39</v>
      </c>
      <c r="F13" s="122">
        <v>36919392.009999998</v>
      </c>
      <c r="G13" s="122">
        <v>7000115.7199999997</v>
      </c>
      <c r="H13" s="122">
        <v>704714.9</v>
      </c>
      <c r="I13" s="122">
        <v>2590860.92</v>
      </c>
      <c r="J13" s="423">
        <f t="shared" si="6"/>
        <v>47215083.549999997</v>
      </c>
      <c r="K13" s="423">
        <f t="shared" si="1"/>
        <v>54749.108350050439</v>
      </c>
      <c r="L13" s="423">
        <f t="shared" si="2"/>
        <v>51744.828476675284</v>
      </c>
    </row>
    <row r="14" spans="1:12" ht="17.25" customHeight="1">
      <c r="A14" s="128"/>
      <c r="B14" s="619" t="s">
        <v>50</v>
      </c>
      <c r="C14" s="619"/>
      <c r="D14" s="251">
        <f t="shared" ref="D14:J14" si="7">+D15</f>
        <v>1441</v>
      </c>
      <c r="E14" s="423">
        <f t="shared" si="7"/>
        <v>1240.78</v>
      </c>
      <c r="F14" s="423">
        <f t="shared" si="7"/>
        <v>52944495.829999998</v>
      </c>
      <c r="G14" s="423">
        <f t="shared" si="7"/>
        <v>16339092.630000001</v>
      </c>
      <c r="H14" s="423">
        <f t="shared" si="7"/>
        <v>1013921.96</v>
      </c>
      <c r="I14" s="423">
        <f t="shared" si="7"/>
        <v>11724445.529999999</v>
      </c>
      <c r="J14" s="423">
        <f t="shared" si="7"/>
        <v>82021955.949999988</v>
      </c>
      <c r="K14" s="423">
        <f t="shared" si="1"/>
        <v>66105.156393558878</v>
      </c>
      <c r="L14" s="423">
        <f t="shared" si="2"/>
        <v>56655.902271152008</v>
      </c>
    </row>
    <row r="15" spans="1:12" ht="17.25" customHeight="1">
      <c r="A15" s="122"/>
      <c r="B15" s="423"/>
      <c r="C15" s="447" t="s">
        <v>51</v>
      </c>
      <c r="D15" s="251">
        <v>1441</v>
      </c>
      <c r="E15" s="122">
        <v>1240.78</v>
      </c>
      <c r="F15" s="122">
        <v>52944495.829999998</v>
      </c>
      <c r="G15" s="122">
        <v>16339092.630000001</v>
      </c>
      <c r="H15" s="122">
        <v>1013921.96</v>
      </c>
      <c r="I15" s="122">
        <v>11724445.529999999</v>
      </c>
      <c r="J15" s="423">
        <f t="shared" si="6"/>
        <v>82021955.949999988</v>
      </c>
      <c r="K15" s="423">
        <f t="shared" si="1"/>
        <v>66105.156393558878</v>
      </c>
      <c r="L15" s="423">
        <f t="shared" si="2"/>
        <v>56655.902271152008</v>
      </c>
    </row>
    <row r="16" spans="1:12" ht="17.25" customHeight="1">
      <c r="A16" s="620" t="s">
        <v>112</v>
      </c>
      <c r="B16" s="620"/>
      <c r="C16" s="620"/>
      <c r="D16" s="260">
        <f t="shared" ref="D16:J16" si="8">+D17+D20+D23+D25+D30+D32</f>
        <v>8914</v>
      </c>
      <c r="E16" s="122">
        <f t="shared" si="8"/>
        <v>6874.04</v>
      </c>
      <c r="F16" s="122">
        <f t="shared" si="8"/>
        <v>587237538.88</v>
      </c>
      <c r="G16" s="122">
        <f t="shared" si="8"/>
        <v>89669407.260000005</v>
      </c>
      <c r="H16" s="122">
        <f t="shared" si="8"/>
        <v>5640225.4499999993</v>
      </c>
      <c r="I16" s="122">
        <f t="shared" si="8"/>
        <v>183710235.00999999</v>
      </c>
      <c r="J16" s="122">
        <f t="shared" si="8"/>
        <v>866257406.5999999</v>
      </c>
      <c r="K16" s="423">
        <f t="shared" si="1"/>
        <v>126018.67411303977</v>
      </c>
      <c r="L16" s="423">
        <f t="shared" si="2"/>
        <v>99293.453571698745</v>
      </c>
    </row>
    <row r="17" spans="1:12" ht="17.25" customHeight="1">
      <c r="A17" s="128"/>
      <c r="B17" s="619" t="s">
        <v>52</v>
      </c>
      <c r="C17" s="619"/>
      <c r="D17" s="251">
        <f t="shared" ref="D17:J17" si="9">+D18+D19</f>
        <v>1343</v>
      </c>
      <c r="E17" s="423">
        <f t="shared" si="9"/>
        <v>911.07</v>
      </c>
      <c r="F17" s="423">
        <f t="shared" si="9"/>
        <v>75051815.730000004</v>
      </c>
      <c r="G17" s="423">
        <f t="shared" si="9"/>
        <v>11489824.619999999</v>
      </c>
      <c r="H17" s="423">
        <f t="shared" si="9"/>
        <v>743106.49</v>
      </c>
      <c r="I17" s="423">
        <f t="shared" si="9"/>
        <v>23134423.18</v>
      </c>
      <c r="J17" s="423">
        <f t="shared" si="9"/>
        <v>110419170.02</v>
      </c>
      <c r="K17" s="423">
        <f t="shared" si="1"/>
        <v>121197.24062915033</v>
      </c>
      <c r="L17" s="423">
        <f t="shared" si="2"/>
        <v>95804.654790521032</v>
      </c>
    </row>
    <row r="18" spans="1:12" ht="17.25" customHeight="1">
      <c r="A18" s="128"/>
      <c r="B18" s="423"/>
      <c r="C18" s="447" t="s">
        <v>53</v>
      </c>
      <c r="D18" s="251">
        <v>168</v>
      </c>
      <c r="E18" s="122">
        <v>115.88</v>
      </c>
      <c r="F18" s="122">
        <v>23367531.120000001</v>
      </c>
      <c r="G18" s="122">
        <v>1042977.61</v>
      </c>
      <c r="H18" s="122">
        <v>94438.43</v>
      </c>
      <c r="I18" s="122">
        <v>5658029.2599999998</v>
      </c>
      <c r="J18" s="423">
        <f t="shared" si="6"/>
        <v>30162976.420000002</v>
      </c>
      <c r="K18" s="423">
        <f t="shared" si="1"/>
        <v>260294.92940973424</v>
      </c>
      <c r="L18" s="423">
        <f t="shared" si="2"/>
        <v>211468.30479806697</v>
      </c>
    </row>
    <row r="19" spans="1:12" ht="17.25" customHeight="1">
      <c r="A19" s="128"/>
      <c r="B19" s="423"/>
      <c r="C19" s="447" t="s">
        <v>54</v>
      </c>
      <c r="D19" s="251">
        <v>1175</v>
      </c>
      <c r="E19" s="122">
        <v>795.19</v>
      </c>
      <c r="F19" s="122">
        <v>51684284.609999999</v>
      </c>
      <c r="G19" s="122">
        <v>10446847.01</v>
      </c>
      <c r="H19" s="122">
        <v>648668.06000000006</v>
      </c>
      <c r="I19" s="122">
        <v>17476393.920000002</v>
      </c>
      <c r="J19" s="423">
        <f t="shared" si="6"/>
        <v>80256193.599999994</v>
      </c>
      <c r="K19" s="423">
        <f t="shared" si="1"/>
        <v>100927.06598423017</v>
      </c>
      <c r="L19" s="423">
        <f t="shared" si="2"/>
        <v>78949.43306631119</v>
      </c>
    </row>
    <row r="20" spans="1:12" ht="17.25" customHeight="1">
      <c r="A20" s="128"/>
      <c r="B20" s="619" t="s">
        <v>55</v>
      </c>
      <c r="C20" s="619"/>
      <c r="D20" s="251">
        <f t="shared" ref="D20:J20" si="10">+D21+D22</f>
        <v>2095</v>
      </c>
      <c r="E20" s="423">
        <f t="shared" si="10"/>
        <v>1538.31</v>
      </c>
      <c r="F20" s="423">
        <f t="shared" si="10"/>
        <v>169764142.05000001</v>
      </c>
      <c r="G20" s="423">
        <f t="shared" si="10"/>
        <v>15280172.189999999</v>
      </c>
      <c r="H20" s="423">
        <f t="shared" si="10"/>
        <v>1249978.7399999998</v>
      </c>
      <c r="I20" s="423">
        <f t="shared" si="10"/>
        <v>31275104.859999999</v>
      </c>
      <c r="J20" s="423">
        <f t="shared" si="10"/>
        <v>217569397.83999997</v>
      </c>
      <c r="K20" s="423">
        <f t="shared" si="1"/>
        <v>141434.03984892511</v>
      </c>
      <c r="L20" s="423">
        <f t="shared" si="2"/>
        <v>121103.21910408177</v>
      </c>
    </row>
    <row r="21" spans="1:12" ht="17.25" customHeight="1">
      <c r="A21" s="128"/>
      <c r="B21" s="423"/>
      <c r="C21" s="447" t="s">
        <v>56</v>
      </c>
      <c r="D21" s="251">
        <v>1055</v>
      </c>
      <c r="E21" s="122">
        <v>756.74</v>
      </c>
      <c r="F21" s="122">
        <f>2419054.45+97655294.77</f>
        <v>100074349.22</v>
      </c>
      <c r="G21" s="122">
        <f>0+8400965.54</f>
        <v>8400965.5399999991</v>
      </c>
      <c r="H21" s="122">
        <f>22112.48+596268.94</f>
        <v>618381.41999999993</v>
      </c>
      <c r="I21" s="122">
        <f>2841530.5+19441420.47</f>
        <v>22282950.969999999</v>
      </c>
      <c r="J21" s="423">
        <f t="shared" si="6"/>
        <v>131376647.14999999</v>
      </c>
      <c r="K21" s="423">
        <f t="shared" si="1"/>
        <v>173608.69935512857</v>
      </c>
      <c r="L21" s="423">
        <f t="shared" si="2"/>
        <v>144162.71926949811</v>
      </c>
    </row>
    <row r="22" spans="1:12" ht="17.25" customHeight="1">
      <c r="A22" s="128"/>
      <c r="B22" s="423"/>
      <c r="C22" s="447" t="s">
        <v>57</v>
      </c>
      <c r="D22" s="251">
        <v>1040</v>
      </c>
      <c r="E22" s="122">
        <v>781.57</v>
      </c>
      <c r="F22" s="122">
        <v>69689792.829999998</v>
      </c>
      <c r="G22" s="122">
        <v>6879206.6500000004</v>
      </c>
      <c r="H22" s="122">
        <v>631597.31999999995</v>
      </c>
      <c r="I22" s="122">
        <v>8992153.8900000006</v>
      </c>
      <c r="J22" s="423">
        <f t="shared" si="6"/>
        <v>86192750.689999998</v>
      </c>
      <c r="K22" s="423">
        <f t="shared" si="1"/>
        <v>110281.5495605</v>
      </c>
      <c r="L22" s="423">
        <f t="shared" si="2"/>
        <v>98776.305129418979</v>
      </c>
    </row>
    <row r="23" spans="1:12" ht="17.25" customHeight="1">
      <c r="A23" s="423"/>
      <c r="B23" s="619" t="s">
        <v>155</v>
      </c>
      <c r="C23" s="619"/>
      <c r="D23" s="251">
        <f t="shared" ref="D23:J23" si="11">+D24</f>
        <v>226</v>
      </c>
      <c r="E23" s="423">
        <f t="shared" si="11"/>
        <v>227.53</v>
      </c>
      <c r="F23" s="423">
        <f t="shared" si="11"/>
        <v>79909701.299999997</v>
      </c>
      <c r="G23" s="423">
        <f t="shared" si="11"/>
        <v>7553385.9699999997</v>
      </c>
      <c r="H23" s="423">
        <f t="shared" si="11"/>
        <v>185929.55</v>
      </c>
      <c r="I23" s="423">
        <f t="shared" si="11"/>
        <v>30886645.52</v>
      </c>
      <c r="J23" s="423">
        <f t="shared" si="11"/>
        <v>118535662.33999999</v>
      </c>
      <c r="K23" s="423">
        <f t="shared" si="1"/>
        <v>520967.17944886384</v>
      </c>
      <c r="L23" s="423">
        <f t="shared" si="2"/>
        <v>385219.60541467054</v>
      </c>
    </row>
    <row r="24" spans="1:12" ht="17.25" customHeight="1">
      <c r="A24" s="128"/>
      <c r="B24" s="423"/>
      <c r="C24" s="447" t="s">
        <v>70</v>
      </c>
      <c r="D24" s="251">
        <v>226</v>
      </c>
      <c r="E24" s="122">
        <v>227.53</v>
      </c>
      <c r="F24" s="122">
        <v>79909701.299999997</v>
      </c>
      <c r="G24" s="122">
        <v>7553385.9699999997</v>
      </c>
      <c r="H24" s="122">
        <v>185929.55</v>
      </c>
      <c r="I24" s="122">
        <v>30886645.52</v>
      </c>
      <c r="J24" s="423">
        <f t="shared" si="6"/>
        <v>118535662.33999999</v>
      </c>
      <c r="K24" s="423">
        <f t="shared" si="1"/>
        <v>520967.17944886384</v>
      </c>
      <c r="L24" s="423">
        <f t="shared" si="2"/>
        <v>385219.60541467054</v>
      </c>
    </row>
    <row r="25" spans="1:12" ht="17.25" customHeight="1">
      <c r="A25" s="128"/>
      <c r="B25" s="619" t="s">
        <v>58</v>
      </c>
      <c r="C25" s="619"/>
      <c r="D25" s="251">
        <f t="shared" ref="D25:J25" si="12">+D26+D27+D28+D29</f>
        <v>3324</v>
      </c>
      <c r="E25" s="423">
        <f t="shared" si="12"/>
        <v>2601.2600000000002</v>
      </c>
      <c r="F25" s="423">
        <f t="shared" si="12"/>
        <v>183121414.88</v>
      </c>
      <c r="G25" s="423">
        <f t="shared" si="12"/>
        <v>36898020.869999997</v>
      </c>
      <c r="H25" s="423">
        <f t="shared" si="12"/>
        <v>2157121.6</v>
      </c>
      <c r="I25" s="423">
        <f t="shared" si="12"/>
        <v>73157994.25999999</v>
      </c>
      <c r="J25" s="423">
        <f t="shared" si="12"/>
        <v>295334551.61000001</v>
      </c>
      <c r="K25" s="423">
        <f t="shared" si="1"/>
        <v>113535.19125731375</v>
      </c>
      <c r="L25" s="423">
        <f t="shared" si="2"/>
        <v>85411.130509829847</v>
      </c>
    </row>
    <row r="26" spans="1:12" ht="17.25" customHeight="1">
      <c r="A26" s="122"/>
      <c r="B26" s="423"/>
      <c r="C26" s="447" t="s">
        <v>59</v>
      </c>
      <c r="D26" s="251">
        <v>2493</v>
      </c>
      <c r="E26" s="122">
        <v>2054.65</v>
      </c>
      <c r="F26" s="122">
        <v>76372962.540000007</v>
      </c>
      <c r="G26" s="122">
        <v>27835413.969999999</v>
      </c>
      <c r="H26" s="122">
        <v>1677854.88</v>
      </c>
      <c r="I26" s="122">
        <v>35704034.799999997</v>
      </c>
      <c r="J26" s="423">
        <f>SUM(F26:I26)</f>
        <v>141590266.19</v>
      </c>
      <c r="K26" s="423">
        <f t="shared" si="1"/>
        <v>68912.109697515392</v>
      </c>
      <c r="L26" s="423">
        <f t="shared" si="2"/>
        <v>51534.923899447589</v>
      </c>
    </row>
    <row r="27" spans="1:12" ht="17.25" customHeight="1">
      <c r="A27" s="122"/>
      <c r="B27" s="423"/>
      <c r="C27" s="447" t="s">
        <v>508</v>
      </c>
      <c r="D27" s="251">
        <v>73</v>
      </c>
      <c r="E27" s="122">
        <v>51.5</v>
      </c>
      <c r="F27" s="122">
        <v>4891687.38</v>
      </c>
      <c r="G27" s="122">
        <v>482867.39</v>
      </c>
      <c r="H27" s="122">
        <v>44333.27</v>
      </c>
      <c r="I27" s="122">
        <v>631180.03</v>
      </c>
      <c r="J27" s="423">
        <f t="shared" si="6"/>
        <v>6050068.0699999994</v>
      </c>
      <c r="K27" s="423">
        <f t="shared" si="1"/>
        <v>117477.04990291261</v>
      </c>
      <c r="L27" s="423">
        <f t="shared" si="2"/>
        <v>105221.12699029125</v>
      </c>
    </row>
    <row r="28" spans="1:12" ht="17.25" customHeight="1">
      <c r="A28" s="122"/>
      <c r="B28" s="423"/>
      <c r="C28" s="447" t="s">
        <v>61</v>
      </c>
      <c r="D28" s="251">
        <v>542</v>
      </c>
      <c r="E28" s="122">
        <v>371.34</v>
      </c>
      <c r="F28" s="122">
        <v>86485832.079999998</v>
      </c>
      <c r="G28" s="122">
        <v>7001349.29</v>
      </c>
      <c r="H28" s="122">
        <v>303446.03999999998</v>
      </c>
      <c r="I28" s="122">
        <v>32939966.719999999</v>
      </c>
      <c r="J28" s="423">
        <f t="shared" si="6"/>
        <v>126730594.13000001</v>
      </c>
      <c r="K28" s="423">
        <f t="shared" si="1"/>
        <v>341279.13537458936</v>
      </c>
      <c r="L28" s="423">
        <f t="shared" si="2"/>
        <v>252573.45669736635</v>
      </c>
    </row>
    <row r="29" spans="1:12" ht="17.25" customHeight="1">
      <c r="A29" s="122"/>
      <c r="B29" s="423"/>
      <c r="C29" s="447" t="s">
        <v>62</v>
      </c>
      <c r="D29" s="251">
        <v>216</v>
      </c>
      <c r="E29" s="122">
        <v>123.77</v>
      </c>
      <c r="F29" s="122">
        <v>15370932.880000001</v>
      </c>
      <c r="G29" s="122">
        <v>1578390.22</v>
      </c>
      <c r="H29" s="122">
        <v>131487.41</v>
      </c>
      <c r="I29" s="122">
        <v>3882812.71</v>
      </c>
      <c r="J29" s="423">
        <f>SUM(F29:I29)</f>
        <v>20963623.220000003</v>
      </c>
      <c r="K29" s="423">
        <f t="shared" si="1"/>
        <v>169375.64207804803</v>
      </c>
      <c r="L29" s="423">
        <f t="shared" si="2"/>
        <v>138004.44784681266</v>
      </c>
    </row>
    <row r="30" spans="1:12" ht="17.25" customHeight="1">
      <c r="A30" s="122"/>
      <c r="B30" s="261" t="s">
        <v>156</v>
      </c>
      <c r="C30" s="261"/>
      <c r="D30" s="251">
        <f t="shared" ref="D30:J30" si="13">+D31</f>
        <v>1104</v>
      </c>
      <c r="E30" s="423">
        <f t="shared" si="13"/>
        <v>926.33</v>
      </c>
      <c r="F30" s="423">
        <f t="shared" si="13"/>
        <v>47706787.560000002</v>
      </c>
      <c r="G30" s="423">
        <f t="shared" si="13"/>
        <v>10001557.83</v>
      </c>
      <c r="H30" s="423">
        <f t="shared" si="13"/>
        <v>756964.43</v>
      </c>
      <c r="I30" s="423">
        <f t="shared" si="13"/>
        <v>16130412.73</v>
      </c>
      <c r="J30" s="423">
        <f t="shared" si="13"/>
        <v>74595722.549999997</v>
      </c>
      <c r="K30" s="423">
        <f t="shared" si="1"/>
        <v>80528.237831010541</v>
      </c>
      <c r="L30" s="423">
        <f t="shared" si="2"/>
        <v>63114.991223430094</v>
      </c>
    </row>
    <row r="31" spans="1:12" ht="17.25" customHeight="1">
      <c r="A31" s="122"/>
      <c r="B31" s="423"/>
      <c r="C31" s="447" t="s">
        <v>60</v>
      </c>
      <c r="D31" s="251">
        <v>1104</v>
      </c>
      <c r="E31" s="122">
        <v>926.33</v>
      </c>
      <c r="F31" s="122">
        <v>47706787.560000002</v>
      </c>
      <c r="G31" s="122">
        <v>10001557.83</v>
      </c>
      <c r="H31" s="122">
        <v>756964.43</v>
      </c>
      <c r="I31" s="122">
        <v>16130412.73</v>
      </c>
      <c r="J31" s="423">
        <f>SUM(F31:I31)</f>
        <v>74595722.549999997</v>
      </c>
      <c r="K31" s="423">
        <f t="shared" si="1"/>
        <v>80528.237831010541</v>
      </c>
      <c r="L31" s="423">
        <f t="shared" si="2"/>
        <v>63114.991223430094</v>
      </c>
    </row>
    <row r="32" spans="1:12" ht="17.25" customHeight="1">
      <c r="A32" s="128"/>
      <c r="B32" s="619" t="s">
        <v>48</v>
      </c>
      <c r="C32" s="619"/>
      <c r="D32" s="251">
        <f t="shared" ref="D32:J32" si="14">+D33</f>
        <v>822</v>
      </c>
      <c r="E32" s="423">
        <f t="shared" si="14"/>
        <v>669.54</v>
      </c>
      <c r="F32" s="423">
        <f t="shared" si="14"/>
        <v>31683677.359999999</v>
      </c>
      <c r="G32" s="423">
        <f t="shared" si="14"/>
        <v>8446445.7799999993</v>
      </c>
      <c r="H32" s="423">
        <f t="shared" si="14"/>
        <v>547124.64</v>
      </c>
      <c r="I32" s="423">
        <f t="shared" si="14"/>
        <v>9125654.4600000009</v>
      </c>
      <c r="J32" s="423">
        <f t="shared" si="14"/>
        <v>49802902.240000002</v>
      </c>
      <c r="K32" s="423">
        <f t="shared" si="1"/>
        <v>74383.759357170595</v>
      </c>
      <c r="L32" s="423">
        <f t="shared" si="2"/>
        <v>60754.021835887332</v>
      </c>
    </row>
    <row r="33" spans="1:12" ht="17.25" customHeight="1">
      <c r="A33" s="128"/>
      <c r="B33" s="423"/>
      <c r="C33" s="122" t="s">
        <v>49</v>
      </c>
      <c r="D33" s="251">
        <v>822</v>
      </c>
      <c r="E33" s="122">
        <v>669.54</v>
      </c>
      <c r="F33" s="122">
        <v>31683677.359999999</v>
      </c>
      <c r="G33" s="122">
        <v>8446445.7799999993</v>
      </c>
      <c r="H33" s="122">
        <v>547124.64</v>
      </c>
      <c r="I33" s="122">
        <v>9125654.4600000009</v>
      </c>
      <c r="J33" s="423">
        <f>SUM(F33:I33)</f>
        <v>49802902.240000002</v>
      </c>
      <c r="K33" s="423">
        <f t="shared" si="1"/>
        <v>74383.759357170595</v>
      </c>
      <c r="L33" s="423">
        <f t="shared" si="2"/>
        <v>60754.021835887332</v>
      </c>
    </row>
    <row r="34" spans="1:12" s="262" customFormat="1" ht="17.25" customHeight="1">
      <c r="A34" s="244" t="s">
        <v>134</v>
      </c>
      <c r="B34" s="244"/>
      <c r="C34" s="244"/>
      <c r="D34" s="258">
        <f t="shared" ref="D34:J34" si="15">+D35+D38</f>
        <v>101</v>
      </c>
      <c r="E34" s="244">
        <f t="shared" si="15"/>
        <v>69.099999999999994</v>
      </c>
      <c r="F34" s="244">
        <f t="shared" si="15"/>
        <v>3252636.92</v>
      </c>
      <c r="G34" s="244">
        <f t="shared" si="15"/>
        <v>802392.46</v>
      </c>
      <c r="H34" s="244">
        <f t="shared" si="15"/>
        <v>65693.88</v>
      </c>
      <c r="I34" s="244">
        <f t="shared" si="15"/>
        <v>1025999.73</v>
      </c>
      <c r="J34" s="244">
        <f t="shared" si="15"/>
        <v>5146722.99</v>
      </c>
      <c r="K34" s="443">
        <f t="shared" si="1"/>
        <v>74482.24298118669</v>
      </c>
      <c r="L34" s="443">
        <f t="shared" si="2"/>
        <v>59634.200578871205</v>
      </c>
    </row>
    <row r="35" spans="1:12" s="78" customFormat="1" ht="17.25" customHeight="1">
      <c r="A35" s="620" t="s">
        <v>111</v>
      </c>
      <c r="B35" s="620"/>
      <c r="C35" s="620"/>
      <c r="D35" s="260">
        <f>+D36</f>
        <v>47</v>
      </c>
      <c r="E35" s="122">
        <f>+E36</f>
        <v>37.06</v>
      </c>
      <c r="F35" s="122">
        <f t="shared" ref="F35:J36" si="16">+F36</f>
        <v>495056.69</v>
      </c>
      <c r="G35" s="122">
        <f t="shared" si="16"/>
        <v>310293.46999999997</v>
      </c>
      <c r="H35" s="122">
        <f t="shared" si="16"/>
        <v>32165.75</v>
      </c>
      <c r="I35" s="122">
        <f t="shared" si="16"/>
        <v>248033.05</v>
      </c>
      <c r="J35" s="122">
        <f t="shared" si="16"/>
        <v>1085548.96</v>
      </c>
      <c r="K35" s="423">
        <f t="shared" si="1"/>
        <v>29291.661090124122</v>
      </c>
      <c r="L35" s="423">
        <f t="shared" si="2"/>
        <v>22598.918240690768</v>
      </c>
    </row>
    <row r="36" spans="1:12" s="78" customFormat="1" ht="17.25" customHeight="1">
      <c r="A36" s="423"/>
      <c r="B36" s="621" t="s">
        <v>45</v>
      </c>
      <c r="C36" s="622"/>
      <c r="D36" s="251">
        <f>+D37</f>
        <v>47</v>
      </c>
      <c r="E36" s="423">
        <f>+E37</f>
        <v>37.06</v>
      </c>
      <c r="F36" s="423">
        <f t="shared" si="16"/>
        <v>495056.69</v>
      </c>
      <c r="G36" s="423">
        <f t="shared" si="16"/>
        <v>310293.46999999997</v>
      </c>
      <c r="H36" s="423">
        <f t="shared" si="16"/>
        <v>32165.75</v>
      </c>
      <c r="I36" s="423">
        <f t="shared" si="16"/>
        <v>248033.05</v>
      </c>
      <c r="J36" s="423">
        <f t="shared" si="16"/>
        <v>1085548.96</v>
      </c>
      <c r="K36" s="423">
        <f t="shared" si="1"/>
        <v>29291.661090124122</v>
      </c>
      <c r="L36" s="423">
        <f t="shared" si="2"/>
        <v>22598.918240690768</v>
      </c>
    </row>
    <row r="37" spans="1:12" s="78" customFormat="1" ht="17.25" customHeight="1">
      <c r="A37" s="423"/>
      <c r="B37" s="447"/>
      <c r="C37" s="122" t="s">
        <v>152</v>
      </c>
      <c r="D37" s="251">
        <v>47</v>
      </c>
      <c r="E37" s="122">
        <v>37.06</v>
      </c>
      <c r="F37" s="122">
        <v>495056.69</v>
      </c>
      <c r="G37" s="122">
        <v>310293.46999999997</v>
      </c>
      <c r="H37" s="122">
        <v>32165.75</v>
      </c>
      <c r="I37" s="122">
        <v>248033.05</v>
      </c>
      <c r="J37" s="423">
        <f>SUM(F37:I37)</f>
        <v>1085548.96</v>
      </c>
      <c r="K37" s="423">
        <f t="shared" si="1"/>
        <v>29291.661090124122</v>
      </c>
      <c r="L37" s="423">
        <f t="shared" si="2"/>
        <v>22598.918240690768</v>
      </c>
    </row>
    <row r="38" spans="1:12" s="78" customFormat="1" ht="17.25" customHeight="1">
      <c r="A38" s="620" t="s">
        <v>112</v>
      </c>
      <c r="B38" s="620"/>
      <c r="C38" s="620"/>
      <c r="D38" s="251">
        <f t="shared" ref="D38:J38" si="17">+D39+D42+D44</f>
        <v>54</v>
      </c>
      <c r="E38" s="423">
        <f t="shared" si="17"/>
        <v>32.04</v>
      </c>
      <c r="F38" s="423">
        <f t="shared" si="17"/>
        <v>2757580.23</v>
      </c>
      <c r="G38" s="423">
        <f t="shared" si="17"/>
        <v>492098.99</v>
      </c>
      <c r="H38" s="423">
        <f t="shared" si="17"/>
        <v>33528.129999999997</v>
      </c>
      <c r="I38" s="423">
        <f t="shared" si="17"/>
        <v>777966.68</v>
      </c>
      <c r="J38" s="423">
        <f t="shared" si="17"/>
        <v>4061174.0300000003</v>
      </c>
      <c r="K38" s="423">
        <f t="shared" si="1"/>
        <v>126753.24687890138</v>
      </c>
      <c r="L38" s="423">
        <f t="shared" si="2"/>
        <v>102472.1395131086</v>
      </c>
    </row>
    <row r="39" spans="1:12" s="78" customFormat="1" ht="17.25" customHeight="1">
      <c r="A39" s="128"/>
      <c r="B39" s="619" t="s">
        <v>52</v>
      </c>
      <c r="C39" s="619"/>
      <c r="D39" s="251">
        <f t="shared" ref="D39:J39" si="18">+D40+D41</f>
        <v>16</v>
      </c>
      <c r="E39" s="423">
        <f t="shared" si="18"/>
        <v>9.16</v>
      </c>
      <c r="F39" s="423">
        <f t="shared" si="18"/>
        <v>1084209.29</v>
      </c>
      <c r="G39" s="423">
        <f t="shared" si="18"/>
        <v>131524</v>
      </c>
      <c r="H39" s="423">
        <f t="shared" si="18"/>
        <v>8873.23</v>
      </c>
      <c r="I39" s="423">
        <f t="shared" si="18"/>
        <v>313197.30000000005</v>
      </c>
      <c r="J39" s="423">
        <f t="shared" si="18"/>
        <v>1537803.82</v>
      </c>
      <c r="K39" s="423">
        <f t="shared" si="1"/>
        <v>167882.51310043668</v>
      </c>
      <c r="L39" s="423">
        <f t="shared" si="2"/>
        <v>133690.66812227076</v>
      </c>
    </row>
    <row r="40" spans="1:12" s="78" customFormat="1" ht="17.25" customHeight="1">
      <c r="A40" s="128"/>
      <c r="B40" s="447"/>
      <c r="C40" s="447" t="s">
        <v>153</v>
      </c>
      <c r="D40" s="251">
        <v>12</v>
      </c>
      <c r="E40" s="122">
        <v>6.72</v>
      </c>
      <c r="F40" s="122">
        <v>527839.5</v>
      </c>
      <c r="G40" s="122">
        <v>106691.2</v>
      </c>
      <c r="H40" s="122">
        <v>6624.7</v>
      </c>
      <c r="I40" s="122">
        <v>178482.32</v>
      </c>
      <c r="J40" s="423">
        <f>SUM(F40:I40)</f>
        <v>819637.72</v>
      </c>
      <c r="K40" s="423">
        <f t="shared" si="1"/>
        <v>121969.89880952382</v>
      </c>
      <c r="L40" s="423">
        <f t="shared" si="2"/>
        <v>95410.029761904749</v>
      </c>
    </row>
    <row r="41" spans="1:12" s="78" customFormat="1" ht="17.25" customHeight="1">
      <c r="A41" s="128"/>
      <c r="B41" s="447"/>
      <c r="C41" s="447" t="s">
        <v>53</v>
      </c>
      <c r="D41" s="251">
        <v>4</v>
      </c>
      <c r="E41" s="122">
        <v>2.44</v>
      </c>
      <c r="F41" s="122">
        <v>556369.79</v>
      </c>
      <c r="G41" s="122">
        <v>24832.799999999999</v>
      </c>
      <c r="H41" s="122">
        <v>2248.5300000000002</v>
      </c>
      <c r="I41" s="122">
        <v>134714.98000000001</v>
      </c>
      <c r="J41" s="423">
        <f>SUM(F41:I41)</f>
        <v>718166.10000000009</v>
      </c>
      <c r="K41" s="423">
        <f t="shared" si="1"/>
        <v>294330.36885245907</v>
      </c>
      <c r="L41" s="423">
        <f t="shared" si="2"/>
        <v>239119.31147540989</v>
      </c>
    </row>
    <row r="42" spans="1:12" s="78" customFormat="1" ht="17.25" customHeight="1">
      <c r="A42" s="128"/>
      <c r="B42" s="619" t="s">
        <v>55</v>
      </c>
      <c r="C42" s="619"/>
      <c r="D42" s="251">
        <f t="shared" ref="D42:J42" si="19">+D43</f>
        <v>14</v>
      </c>
      <c r="E42" s="423">
        <f t="shared" si="19"/>
        <v>4.5</v>
      </c>
      <c r="F42" s="423">
        <f t="shared" si="19"/>
        <v>938131.83</v>
      </c>
      <c r="G42" s="423">
        <f t="shared" si="19"/>
        <v>92604.7</v>
      </c>
      <c r="H42" s="423">
        <f t="shared" si="19"/>
        <v>8502.27</v>
      </c>
      <c r="I42" s="423">
        <f t="shared" si="19"/>
        <v>121048.23</v>
      </c>
      <c r="J42" s="423">
        <f t="shared" si="19"/>
        <v>1160287.03</v>
      </c>
      <c r="K42" s="423">
        <f t="shared" si="1"/>
        <v>257841.56222222222</v>
      </c>
      <c r="L42" s="423">
        <f t="shared" si="2"/>
        <v>230941.95555555553</v>
      </c>
    </row>
    <row r="43" spans="1:12" s="78" customFormat="1" ht="17.25" customHeight="1">
      <c r="A43" s="128"/>
      <c r="B43" s="423"/>
      <c r="C43" s="447" t="s">
        <v>57</v>
      </c>
      <c r="D43" s="251">
        <v>14</v>
      </c>
      <c r="E43" s="122">
        <v>4.5</v>
      </c>
      <c r="F43" s="122">
        <v>938131.83</v>
      </c>
      <c r="G43" s="122">
        <v>92604.7</v>
      </c>
      <c r="H43" s="122">
        <v>8502.27</v>
      </c>
      <c r="I43" s="122">
        <v>121048.23</v>
      </c>
      <c r="J43" s="423">
        <f>SUM(F43:I43)</f>
        <v>1160287.03</v>
      </c>
      <c r="K43" s="423">
        <f t="shared" si="1"/>
        <v>257841.56222222222</v>
      </c>
      <c r="L43" s="423">
        <f t="shared" si="2"/>
        <v>230941.95555555553</v>
      </c>
    </row>
    <row r="44" spans="1:12" s="78" customFormat="1" ht="17.25" customHeight="1">
      <c r="A44" s="128"/>
      <c r="B44" s="619" t="s">
        <v>58</v>
      </c>
      <c r="C44" s="619"/>
      <c r="D44" s="251">
        <f t="shared" ref="D44:J44" si="20">+D45</f>
        <v>24</v>
      </c>
      <c r="E44" s="423">
        <f t="shared" si="20"/>
        <v>18.38</v>
      </c>
      <c r="F44" s="423">
        <f t="shared" si="20"/>
        <v>735239.11</v>
      </c>
      <c r="G44" s="423">
        <f t="shared" si="20"/>
        <v>267970.28999999998</v>
      </c>
      <c r="H44" s="423">
        <f t="shared" si="20"/>
        <v>16152.63</v>
      </c>
      <c r="I44" s="423">
        <f t="shared" si="20"/>
        <v>343721.15</v>
      </c>
      <c r="J44" s="423">
        <f t="shared" si="20"/>
        <v>1363083.18</v>
      </c>
      <c r="K44" s="423">
        <f t="shared" si="1"/>
        <v>74161.217627856371</v>
      </c>
      <c r="L44" s="423">
        <f t="shared" si="2"/>
        <v>55460.393362350376</v>
      </c>
    </row>
    <row r="45" spans="1:12" s="78" customFormat="1" ht="17.25" customHeight="1" thickBot="1">
      <c r="A45" s="263"/>
      <c r="B45" s="264"/>
      <c r="C45" s="429" t="s">
        <v>59</v>
      </c>
      <c r="D45" s="430">
        <v>24</v>
      </c>
      <c r="E45" s="130">
        <v>18.38</v>
      </c>
      <c r="F45" s="130">
        <v>735239.11</v>
      </c>
      <c r="G45" s="130">
        <v>267970.28999999998</v>
      </c>
      <c r="H45" s="130">
        <v>16152.63</v>
      </c>
      <c r="I45" s="130">
        <v>343721.15</v>
      </c>
      <c r="J45" s="264">
        <f>SUM(F45:I45)</f>
        <v>1363083.18</v>
      </c>
      <c r="K45" s="264">
        <f t="shared" si="1"/>
        <v>74161.217627856371</v>
      </c>
      <c r="L45" s="264">
        <f t="shared" si="2"/>
        <v>55460.393362350376</v>
      </c>
    </row>
    <row r="46" spans="1:12" s="262" customFormat="1" ht="17.25" customHeight="1" thickTop="1" thickBot="1">
      <c r="A46" s="618" t="s">
        <v>157</v>
      </c>
      <c r="B46" s="618"/>
      <c r="C46" s="618"/>
      <c r="D46" s="431">
        <f>+D4+D8+D34</f>
        <v>17666</v>
      </c>
      <c r="E46" s="432">
        <f>+E4+E8+E34</f>
        <v>13871.74</v>
      </c>
      <c r="F46" s="432">
        <f t="shared" ref="F46:J46" si="21">+F4+F8+F34</f>
        <v>805950760.66999984</v>
      </c>
      <c r="G46" s="432">
        <f t="shared" si="21"/>
        <v>157534330.28</v>
      </c>
      <c r="H46" s="432">
        <f t="shared" si="21"/>
        <v>9963717.040000001</v>
      </c>
      <c r="I46" s="432">
        <f t="shared" si="21"/>
        <v>227763571.93000001</v>
      </c>
      <c r="J46" s="432">
        <f t="shared" si="21"/>
        <v>1201212379.9200001</v>
      </c>
      <c r="K46" s="446"/>
      <c r="L46" s="446"/>
    </row>
    <row r="47" spans="1:12" s="262" customFormat="1" ht="17.25" customHeight="1" thickTop="1">
      <c r="A47" s="359"/>
      <c r="B47" s="359"/>
      <c r="C47" s="359"/>
      <c r="D47" s="433"/>
      <c r="K47" s="359"/>
      <c r="L47" s="359"/>
    </row>
    <row r="48" spans="1:12" s="78" customFormat="1" ht="17.25" customHeight="1">
      <c r="A48" s="615" t="s">
        <v>107</v>
      </c>
      <c r="B48" s="615"/>
      <c r="C48" s="615"/>
      <c r="D48" s="615"/>
      <c r="E48" s="615"/>
      <c r="F48" s="615"/>
      <c r="G48" s="615"/>
      <c r="H48" s="615"/>
      <c r="I48" s="615"/>
      <c r="J48" s="615"/>
      <c r="K48" s="615"/>
    </row>
    <row r="49" spans="1:11" s="78" customFormat="1" ht="18.75">
      <c r="A49" s="615" t="s">
        <v>108</v>
      </c>
      <c r="B49" s="615"/>
      <c r="C49" s="615"/>
      <c r="D49" s="615"/>
      <c r="E49" s="615"/>
      <c r="F49" s="615"/>
      <c r="G49" s="615"/>
      <c r="H49" s="615"/>
      <c r="I49" s="615"/>
      <c r="J49" s="615"/>
      <c r="K49" s="615"/>
    </row>
    <row r="50" spans="1:11" ht="18.75">
      <c r="A50" s="616" t="s">
        <v>106</v>
      </c>
      <c r="B50" s="616"/>
      <c r="C50" s="616"/>
      <c r="D50" s="616"/>
      <c r="E50" s="616"/>
      <c r="F50" s="616"/>
      <c r="G50" s="616"/>
      <c r="H50" s="616"/>
      <c r="I50" s="616"/>
      <c r="J50" s="616"/>
      <c r="K50" s="616"/>
    </row>
    <row r="51" spans="1:11" ht="18.75">
      <c r="A51" s="617"/>
      <c r="B51" s="617"/>
      <c r="C51" s="617"/>
      <c r="D51" s="617"/>
      <c r="E51" s="617"/>
      <c r="F51" s="617"/>
      <c r="G51" s="617"/>
      <c r="H51" s="617"/>
      <c r="I51" s="617"/>
      <c r="J51" s="617"/>
      <c r="K51" s="617"/>
    </row>
    <row r="52" spans="1:11" ht="18.75">
      <c r="C52" s="265"/>
      <c r="D52" s="266"/>
      <c r="E52" s="78"/>
      <c r="F52" s="78"/>
    </row>
    <row r="53" spans="1:11" ht="18.75">
      <c r="C53" s="265"/>
      <c r="D53" s="266"/>
      <c r="E53" s="78"/>
      <c r="F53" s="78"/>
    </row>
    <row r="54" spans="1:11" ht="18.75">
      <c r="C54" s="265"/>
      <c r="D54" s="266"/>
      <c r="E54" s="78"/>
      <c r="F54" s="78"/>
    </row>
    <row r="55" spans="1:11" ht="18.75">
      <c r="C55" s="265"/>
      <c r="D55" s="266"/>
      <c r="E55" s="78"/>
      <c r="F55" s="78"/>
    </row>
    <row r="56" spans="1:11" ht="18.75">
      <c r="C56" s="265"/>
      <c r="D56" s="266"/>
      <c r="E56" s="78"/>
      <c r="F56" s="78"/>
    </row>
    <row r="57" spans="1:11" ht="18.75">
      <c r="C57" s="265"/>
      <c r="D57" s="266"/>
      <c r="E57" s="78"/>
      <c r="F57" s="78"/>
    </row>
    <row r="58" spans="1:11" ht="17.25" customHeight="1">
      <c r="C58" s="265"/>
      <c r="D58" s="266"/>
      <c r="E58" s="78"/>
      <c r="F58" s="78"/>
    </row>
    <row r="59" spans="1:11" ht="17.25" customHeight="1">
      <c r="C59" s="265"/>
      <c r="D59" s="266"/>
      <c r="E59" s="78"/>
      <c r="F59" s="78"/>
    </row>
    <row r="60" spans="1:11" ht="17.25" customHeight="1">
      <c r="C60" s="265"/>
      <c r="D60" s="266"/>
      <c r="E60" s="78"/>
      <c r="F60" s="78"/>
    </row>
    <row r="61" spans="1:11" ht="17.25" customHeight="1">
      <c r="C61" s="265"/>
      <c r="D61" s="266"/>
      <c r="E61" s="78"/>
      <c r="F61" s="78"/>
    </row>
    <row r="62" spans="1:11" ht="17.25" customHeight="1">
      <c r="C62" s="265"/>
      <c r="D62" s="266"/>
      <c r="E62" s="78"/>
      <c r="F62" s="78"/>
    </row>
    <row r="63" spans="1:11" ht="17.25" customHeight="1">
      <c r="C63" s="265"/>
      <c r="D63" s="266"/>
      <c r="E63" s="78"/>
      <c r="F63" s="78"/>
    </row>
    <row r="64" spans="1:11" ht="17.25" customHeight="1">
      <c r="C64" s="265"/>
      <c r="D64" s="266"/>
      <c r="E64" s="78"/>
      <c r="F64" s="78"/>
    </row>
    <row r="65" spans="3:6" ht="17.25" customHeight="1">
      <c r="C65" s="265"/>
      <c r="D65" s="266"/>
      <c r="E65" s="78"/>
      <c r="F65" s="78"/>
    </row>
    <row r="66" spans="3:6" ht="17.25" customHeight="1">
      <c r="C66" s="265"/>
      <c r="D66" s="266"/>
      <c r="E66" s="78"/>
      <c r="F66" s="78"/>
    </row>
    <row r="67" spans="3:6" ht="17.25" customHeight="1">
      <c r="C67" s="265"/>
      <c r="D67" s="266"/>
      <c r="E67" s="78"/>
      <c r="F67" s="78"/>
    </row>
    <row r="68" spans="3:6" ht="17.25" customHeight="1">
      <c r="C68" s="265"/>
      <c r="D68" s="266"/>
      <c r="E68" s="78"/>
      <c r="F68" s="78"/>
    </row>
    <row r="69" spans="3:6" ht="17.25" customHeight="1">
      <c r="C69" s="265"/>
      <c r="D69" s="266"/>
      <c r="E69" s="78"/>
      <c r="F69" s="78"/>
    </row>
    <row r="70" spans="3:6" ht="17.25" customHeight="1">
      <c r="C70" s="265"/>
      <c r="D70" s="266"/>
      <c r="E70" s="78"/>
      <c r="F70" s="78"/>
    </row>
    <row r="71" spans="3:6" ht="17.25" customHeight="1">
      <c r="C71" s="265"/>
      <c r="D71" s="266"/>
      <c r="E71" s="78"/>
      <c r="F71" s="78"/>
    </row>
    <row r="72" spans="3:6" ht="17.25" customHeight="1">
      <c r="C72" s="265"/>
      <c r="D72" s="266"/>
      <c r="E72" s="78"/>
      <c r="F72" s="78"/>
    </row>
    <row r="73" spans="3:6" ht="17.25" customHeight="1">
      <c r="C73" s="265"/>
      <c r="D73" s="266"/>
      <c r="E73" s="78"/>
      <c r="F73" s="78"/>
    </row>
    <row r="74" spans="3:6" ht="17.25" customHeight="1">
      <c r="C74" s="265"/>
      <c r="D74" s="266"/>
      <c r="E74" s="78"/>
      <c r="F74" s="78"/>
    </row>
    <row r="75" spans="3:6" ht="17.25" customHeight="1">
      <c r="C75" s="265"/>
      <c r="D75" s="266"/>
      <c r="E75" s="78"/>
      <c r="F75" s="78"/>
    </row>
    <row r="76" spans="3:6" ht="17.25" customHeight="1">
      <c r="C76" s="265"/>
      <c r="D76" s="266"/>
      <c r="E76" s="78"/>
      <c r="F76" s="78"/>
    </row>
    <row r="77" spans="3:6" ht="17.25" customHeight="1">
      <c r="C77" s="265"/>
      <c r="D77" s="266"/>
      <c r="E77" s="78"/>
      <c r="F77" s="78"/>
    </row>
    <row r="78" spans="3:6" ht="17.25" customHeight="1">
      <c r="C78" s="265"/>
      <c r="D78" s="266"/>
      <c r="E78" s="78"/>
      <c r="F78" s="78"/>
    </row>
    <row r="79" spans="3:6" ht="17.25" customHeight="1">
      <c r="C79" s="265"/>
      <c r="D79" s="266"/>
      <c r="E79" s="78"/>
      <c r="F79" s="78"/>
    </row>
    <row r="80" spans="3:6" ht="17.25" customHeight="1">
      <c r="C80" s="265"/>
      <c r="D80" s="266"/>
      <c r="E80" s="78"/>
      <c r="F80" s="78"/>
    </row>
    <row r="81" spans="3:6" ht="17.25" customHeight="1">
      <c r="C81" s="265"/>
      <c r="D81" s="266"/>
      <c r="E81" s="78"/>
      <c r="F81" s="78"/>
    </row>
    <row r="82" spans="3:6" ht="17.25" customHeight="1">
      <c r="C82" s="265"/>
      <c r="D82" s="266"/>
      <c r="E82" s="78"/>
      <c r="F82" s="78"/>
    </row>
    <row r="83" spans="3:6" ht="17.25" customHeight="1">
      <c r="C83" s="265"/>
      <c r="D83" s="266"/>
      <c r="E83" s="78"/>
      <c r="F83" s="78"/>
    </row>
    <row r="84" spans="3:6" ht="17.25" customHeight="1">
      <c r="C84" s="265"/>
      <c r="D84" s="266"/>
      <c r="E84" s="78"/>
      <c r="F84" s="78"/>
    </row>
    <row r="85" spans="3:6" ht="17.25" customHeight="1">
      <c r="C85" s="265"/>
      <c r="D85" s="266"/>
      <c r="E85" s="78"/>
      <c r="F85" s="78"/>
    </row>
    <row r="86" spans="3:6" ht="17.25" customHeight="1">
      <c r="C86" s="265"/>
      <c r="D86" s="266"/>
      <c r="E86" s="78"/>
      <c r="F86" s="78"/>
    </row>
    <row r="87" spans="3:6" ht="17.25" customHeight="1">
      <c r="C87" s="265"/>
      <c r="D87" s="266"/>
      <c r="E87" s="78"/>
      <c r="F87" s="78"/>
    </row>
    <row r="88" spans="3:6" ht="17.25" customHeight="1">
      <c r="C88" s="265"/>
      <c r="D88" s="266"/>
      <c r="E88" s="78"/>
      <c r="F88" s="78"/>
    </row>
    <row r="89" spans="3:6" ht="17.25" customHeight="1">
      <c r="C89" s="265"/>
      <c r="D89" s="266"/>
      <c r="E89" s="78"/>
      <c r="F89" s="78"/>
    </row>
    <row r="90" spans="3:6" ht="17.25" customHeight="1">
      <c r="C90" s="265"/>
      <c r="D90" s="266"/>
      <c r="E90" s="78"/>
      <c r="F90" s="78"/>
    </row>
    <row r="91" spans="3:6" ht="17.25" customHeight="1">
      <c r="C91" s="265"/>
      <c r="D91" s="266"/>
      <c r="E91" s="78"/>
      <c r="F91" s="78"/>
    </row>
    <row r="92" spans="3:6" ht="17.25" customHeight="1">
      <c r="C92" s="265"/>
      <c r="D92" s="266"/>
      <c r="E92" s="78"/>
      <c r="F92" s="78"/>
    </row>
    <row r="93" spans="3:6" ht="17.25" customHeight="1">
      <c r="C93" s="265"/>
      <c r="D93" s="266"/>
      <c r="E93" s="78"/>
      <c r="F93" s="78"/>
    </row>
    <row r="94" spans="3:6" ht="17.25" customHeight="1">
      <c r="C94" s="265"/>
      <c r="D94" s="266"/>
      <c r="E94" s="78"/>
      <c r="F94" s="78"/>
    </row>
    <row r="95" spans="3:6" ht="17.25" customHeight="1">
      <c r="C95" s="265"/>
      <c r="D95" s="266"/>
      <c r="E95" s="78"/>
      <c r="F95" s="78"/>
    </row>
    <row r="96" spans="3:6" ht="17.25" customHeight="1">
      <c r="C96" s="265"/>
      <c r="D96" s="266"/>
      <c r="E96" s="78"/>
      <c r="F96" s="78"/>
    </row>
    <row r="97" spans="3:6" ht="17.25" customHeight="1">
      <c r="C97" s="265"/>
      <c r="D97" s="266"/>
      <c r="E97" s="78"/>
      <c r="F97" s="78"/>
    </row>
    <row r="98" spans="3:6" ht="17.25" customHeight="1">
      <c r="C98" s="265"/>
      <c r="D98" s="266"/>
      <c r="E98" s="78"/>
      <c r="F98" s="78"/>
    </row>
    <row r="99" spans="3:6" ht="17.25" customHeight="1">
      <c r="C99" s="265"/>
      <c r="D99" s="266"/>
      <c r="E99" s="78"/>
      <c r="F99" s="78"/>
    </row>
    <row r="100" spans="3:6" ht="17.25" customHeight="1">
      <c r="C100" s="265"/>
      <c r="D100" s="266"/>
      <c r="E100" s="78"/>
      <c r="F100" s="78"/>
    </row>
    <row r="101" spans="3:6" ht="17.25" customHeight="1">
      <c r="C101" s="265"/>
      <c r="D101" s="266"/>
      <c r="E101" s="78"/>
      <c r="F101" s="78"/>
    </row>
  </sheetData>
  <mergeCells count="25">
    <mergeCell ref="A1:K1"/>
    <mergeCell ref="A2:K2"/>
    <mergeCell ref="A3:C3"/>
    <mergeCell ref="B25:C25"/>
    <mergeCell ref="A38:C38"/>
    <mergeCell ref="B20:C20"/>
    <mergeCell ref="B23:C23"/>
    <mergeCell ref="A9:C9"/>
    <mergeCell ref="A5:C5"/>
    <mergeCell ref="B6:C6"/>
    <mergeCell ref="B39:C39"/>
    <mergeCell ref="B42:C42"/>
    <mergeCell ref="B44:C44"/>
    <mergeCell ref="B10:C10"/>
    <mergeCell ref="B32:C32"/>
    <mergeCell ref="B14:C14"/>
    <mergeCell ref="A16:C16"/>
    <mergeCell ref="B17:C17"/>
    <mergeCell ref="A35:C35"/>
    <mergeCell ref="B36:C36"/>
    <mergeCell ref="A48:K48"/>
    <mergeCell ref="A49:K49"/>
    <mergeCell ref="A50:K50"/>
    <mergeCell ref="A51:K51"/>
    <mergeCell ref="A46:C46"/>
  </mergeCells>
  <phoneticPr fontId="3" type="noConversion"/>
  <printOptions horizontalCentered="1" verticalCentered="1"/>
  <pageMargins left="0.35433070866141736" right="0.39370078740157483" top="0.19685039370078741" bottom="0.15748031496062992" header="0.23622047244094491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18</vt:i4>
      </vt:variant>
      <vt:variant>
        <vt:lpstr>ช่วงที่มีชื่อ</vt:lpstr>
      </vt:variant>
      <vt:variant>
        <vt:i4>2</vt:i4>
      </vt:variant>
    </vt:vector>
  </HeadingPairs>
  <TitlesOfParts>
    <vt:vector size="20" baseType="lpstr">
      <vt:lpstr>ตารางที่ 1</vt:lpstr>
      <vt:lpstr>ตารางที่ 2</vt:lpstr>
      <vt:lpstr>ตารางที่ 3</vt:lpstr>
      <vt:lpstr>ตารางที่ 4</vt:lpstr>
      <vt:lpstr>ตารางที่ 5</vt:lpstr>
      <vt:lpstr>ตารางที่ 6</vt:lpstr>
      <vt:lpstr>ตารางที่ 7</vt:lpstr>
      <vt:lpstr>ตารางที่ 8</vt:lpstr>
      <vt:lpstr>ต้นทุนผลผลผลิตการเรียนการสอน</vt:lpstr>
      <vt:lpstr>คชจ.หน่วยงาน</vt:lpstr>
      <vt:lpstr>ต้นทุนรอบปันส่วน</vt:lpstr>
      <vt:lpstr>ต้นทุนกิจกรรมด้านการเรียนการสอน</vt:lpstr>
      <vt:lpstr>ต้นทุนผลผลิตการเรียนปันส่วน</vt:lpstr>
      <vt:lpstr>ปันส่วนค่าเสื่อมส่วนกลางสงขลา</vt:lpstr>
      <vt:lpstr>ปันส่วนต้นทุนกิจกรรมสนับสนุน</vt:lpstr>
      <vt:lpstr>FTES59</vt:lpstr>
      <vt:lpstr>จำนวนบุคลากร</vt:lpstr>
      <vt:lpstr>ปันส่วนงบกลางสอ.</vt:lpstr>
      <vt:lpstr>จำนวนบุคลากร!Print_Titles</vt:lpstr>
      <vt:lpstr>'ตารางที่ 3'!Print_Titles</vt:lpstr>
    </vt:vector>
  </TitlesOfParts>
  <Company>iLLUSiON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COM02</cp:lastModifiedBy>
  <cp:lastPrinted>2017-01-19T03:27:42Z</cp:lastPrinted>
  <dcterms:created xsi:type="dcterms:W3CDTF">2010-04-08T10:01:00Z</dcterms:created>
  <dcterms:modified xsi:type="dcterms:W3CDTF">2017-01-20T03:58:04Z</dcterms:modified>
</cp:coreProperties>
</file>